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3500" windowHeight="31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3" i="1"/>
  <c r="B54" s="1"/>
  <c r="L51"/>
  <c r="I51"/>
  <c r="L53" s="1"/>
  <c r="L55" s="1"/>
  <c r="L57" s="1"/>
  <c r="B61"/>
  <c r="D61"/>
  <c r="F61"/>
  <c r="F60"/>
  <c r="B60"/>
  <c r="D60"/>
  <c r="G42"/>
  <c r="C42"/>
  <c r="B42"/>
  <c r="F42"/>
  <c r="H27"/>
  <c r="F27"/>
  <c r="H26"/>
  <c r="H25"/>
  <c r="H24"/>
  <c r="H23"/>
  <c r="H22"/>
  <c r="H21"/>
  <c r="F26"/>
  <c r="F25"/>
  <c r="F24"/>
  <c r="F23"/>
  <c r="F22"/>
  <c r="F21"/>
  <c r="H16"/>
  <c r="H17"/>
  <c r="H15"/>
  <c r="F16"/>
  <c r="F17"/>
  <c r="F15"/>
  <c r="E54" l="1"/>
  <c r="E81" s="1"/>
  <c r="B52"/>
  <c r="B43"/>
  <c r="C44"/>
  <c r="F43"/>
  <c r="G44"/>
  <c r="B44"/>
  <c r="C43"/>
  <c r="F44"/>
  <c r="G43"/>
  <c r="B81" l="1"/>
  <c r="B79"/>
  <c r="B80"/>
  <c r="E79"/>
  <c r="E80"/>
</calcChain>
</file>

<file path=xl/sharedStrings.xml><?xml version="1.0" encoding="utf-8"?>
<sst xmlns="http://schemas.openxmlformats.org/spreadsheetml/2006/main" count="90" uniqueCount="88">
  <si>
    <t>Relay Settings</t>
  </si>
  <si>
    <t>Intermediate Results</t>
  </si>
  <si>
    <t>Final Results</t>
  </si>
  <si>
    <t>R1</t>
  </si>
  <si>
    <t>X1</t>
  </si>
  <si>
    <t>R0</t>
  </si>
  <si>
    <t>X0</t>
  </si>
  <si>
    <t>CTR</t>
  </si>
  <si>
    <t>PTR</t>
  </si>
  <si>
    <t>MTA (deg)</t>
  </si>
  <si>
    <t>Enter Relay settings below:</t>
  </si>
  <si>
    <t>Vap</t>
  </si>
  <si>
    <t>Vbp</t>
  </si>
  <si>
    <t>Vcp</t>
  </si>
  <si>
    <t>Imag (Y)</t>
  </si>
  <si>
    <t>Real (X)</t>
  </si>
  <si>
    <t>Data Input</t>
  </si>
  <si>
    <t>Va</t>
  </si>
  <si>
    <t>Vb</t>
  </si>
  <si>
    <t>Vc</t>
  </si>
  <si>
    <t>Ia</t>
  </si>
  <si>
    <t>Ib</t>
  </si>
  <si>
    <t>Ic</t>
  </si>
  <si>
    <t>Vx = X + iY:</t>
  </si>
  <si>
    <t>|Vap|</t>
  </si>
  <si>
    <t>|Vbp|</t>
  </si>
  <si>
    <t>|Vcp|</t>
  </si>
  <si>
    <t>arg(Vap)</t>
  </si>
  <si>
    <t>arg(Vbp)</t>
  </si>
  <si>
    <t>arg(Vcp)</t>
  </si>
  <si>
    <t>deg =</t>
  </si>
  <si>
    <t>|Va|</t>
  </si>
  <si>
    <t>|Vb|</t>
  </si>
  <si>
    <t>|Vc|</t>
  </si>
  <si>
    <t>|Ia|</t>
  </si>
  <si>
    <t>|Ib|</t>
  </si>
  <si>
    <t>|Ic|</t>
  </si>
  <si>
    <t>|Ir|</t>
  </si>
  <si>
    <t>arg(Va)</t>
  </si>
  <si>
    <t>arg(Vb)</t>
  </si>
  <si>
    <t>arg(Vc)</t>
  </si>
  <si>
    <t>arg(Ia)</t>
  </si>
  <si>
    <t>arg(Ib)</t>
  </si>
  <si>
    <t>arg(Ic)</t>
  </si>
  <si>
    <t>arg(Ir)</t>
  </si>
  <si>
    <t>Va0</t>
  </si>
  <si>
    <t>Va1</t>
  </si>
  <si>
    <t>Va2</t>
  </si>
  <si>
    <t>Ia0</t>
  </si>
  <si>
    <t>Ia1</t>
  </si>
  <si>
    <t>Ia2</t>
  </si>
  <si>
    <t>(180/π)*rad</t>
  </si>
  <si>
    <t>a =</t>
  </si>
  <si>
    <t>Mag</t>
  </si>
  <si>
    <t>Arg</t>
  </si>
  <si>
    <t>|VAP|</t>
  </si>
  <si>
    <t>arg(VAP)</t>
  </si>
  <si>
    <t>Vab</t>
  </si>
  <si>
    <t>Iab</t>
  </si>
  <si>
    <t>Vbc</t>
  </si>
  <si>
    <t>Vca</t>
  </si>
  <si>
    <t>Ica</t>
  </si>
  <si>
    <t>SHIFT</t>
  </si>
  <si>
    <t>SHIFT = MTA - LNANG</t>
  </si>
  <si>
    <t>LNANG = arg(Z1L)</t>
  </si>
  <si>
    <t>Z1L</t>
  </si>
  <si>
    <t>LNANG</t>
  </si>
  <si>
    <t>ANG = exp(j*SHIFT*deg)</t>
  </si>
  <si>
    <t>ANG</t>
  </si>
  <si>
    <t>r</t>
  </si>
  <si>
    <t>k</t>
  </si>
  <si>
    <t>Z0L</t>
  </si>
  <si>
    <t>rad</t>
  </si>
  <si>
    <t>Ibc</t>
  </si>
  <si>
    <t>Re(yag)</t>
  </si>
  <si>
    <t>Re(yab)</t>
  </si>
  <si>
    <t>Re(ybg)</t>
  </si>
  <si>
    <t>Re(ybc)</t>
  </si>
  <si>
    <t>Re(ycg)</t>
  </si>
  <si>
    <t>Re(yca)</t>
  </si>
  <si>
    <t>Enter fault event report voltage and current samples @ cycle 4.25:</t>
  </si>
  <si>
    <t xml:space="preserve">The torque calculation below that has the largest value determines the fault type.  The relay then </t>
  </si>
  <si>
    <t>runs the Zone 1, Zone 2, and Zone 3 calculations for that fault type/loop.</t>
  </si>
  <si>
    <t>Enter prefault event report voltage samples @ cycle 1.25, where X is 1/4 cycle after Y:</t>
  </si>
  <si>
    <t>Author:  Andrew Swinghamer</t>
  </si>
  <si>
    <t>Date</t>
  </si>
  <si>
    <t>Initial</t>
  </si>
  <si>
    <t>Version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</si>
</sst>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0" fontId="3" fillId="0" borderId="0" xfId="0" applyFont="1" applyProtection="1"/>
    <xf numFmtId="164" fontId="2" fillId="3" borderId="4" xfId="0" applyNumberFormat="1" applyFont="1" applyFill="1" applyBorder="1" applyAlignment="1" applyProtection="1">
      <alignment horizontal="center"/>
    </xf>
    <xf numFmtId="164" fontId="2" fillId="3" borderId="12" xfId="0" applyNumberFormat="1" applyFont="1" applyFill="1" applyBorder="1" applyAlignment="1" applyProtection="1">
      <alignment horizontal="center"/>
    </xf>
    <xf numFmtId="164" fontId="0" fillId="0" borderId="8" xfId="0" applyNumberFormat="1" applyBorder="1" applyProtection="1"/>
    <xf numFmtId="164" fontId="2" fillId="3" borderId="5" xfId="0" applyNumberFormat="1" applyFont="1" applyFill="1" applyBorder="1" applyAlignment="1" applyProtection="1">
      <alignment horizontal="center"/>
    </xf>
    <xf numFmtId="164" fontId="0" fillId="0" borderId="0" xfId="0" applyNumberFormat="1" applyProtection="1"/>
    <xf numFmtId="0" fontId="0" fillId="0" borderId="13" xfId="0" applyBorder="1" applyProtection="1"/>
    <xf numFmtId="0" fontId="0" fillId="0" borderId="0" xfId="0" applyAlignment="1" applyProtection="1">
      <alignment horizontal="center"/>
    </xf>
    <xf numFmtId="164" fontId="2" fillId="3" borderId="6" xfId="0" applyNumberFormat="1" applyFont="1" applyFill="1" applyBorder="1" applyAlignment="1" applyProtection="1">
      <alignment horizontal="center"/>
    </xf>
    <xf numFmtId="164" fontId="2" fillId="3" borderId="7" xfId="0" applyNumberFormat="1" applyFont="1" applyFill="1" applyBorder="1" applyAlignment="1" applyProtection="1">
      <alignment horizontal="center"/>
    </xf>
    <xf numFmtId="164" fontId="2" fillId="3" borderId="8" xfId="0" applyNumberFormat="1" applyFont="1" applyFill="1" applyBorder="1" applyAlignment="1" applyProtection="1">
      <alignment horizontal="center"/>
    </xf>
    <xf numFmtId="164" fontId="2" fillId="3" borderId="9" xfId="0" applyNumberFormat="1" applyFont="1" applyFill="1" applyBorder="1" applyAlignment="1" applyProtection="1">
      <alignment horizontal="center"/>
    </xf>
    <xf numFmtId="164" fontId="2" fillId="3" borderId="10" xfId="0" applyNumberFormat="1" applyFont="1" applyFill="1" applyBorder="1" applyAlignment="1" applyProtection="1">
      <alignment horizontal="center"/>
    </xf>
    <xf numFmtId="164" fontId="2" fillId="3" borderId="11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164" fontId="4" fillId="0" borderId="0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164" fontId="4" fillId="0" borderId="14" xfId="0" applyNumberFormat="1" applyFont="1" applyFill="1" applyBorder="1" applyAlignment="1" applyProtection="1">
      <alignment horizontal="center"/>
    </xf>
    <xf numFmtId="0" fontId="0" fillId="0" borderId="0" xfId="0" applyBorder="1" applyProtection="1"/>
    <xf numFmtId="164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/>
    <xf numFmtId="0" fontId="0" fillId="0" borderId="0" xfId="0" applyFill="1" applyBorder="1" applyProtection="1"/>
    <xf numFmtId="165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/>
    <xf numFmtId="1" fontId="2" fillId="3" borderId="5" xfId="0" applyNumberFormat="1" applyFont="1" applyFill="1" applyBorder="1" applyAlignment="1" applyProtection="1">
      <alignment horizontal="center"/>
    </xf>
    <xf numFmtId="0" fontId="0" fillId="5" borderId="6" xfId="0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164" fontId="0" fillId="4" borderId="2" xfId="0" applyNumberFormat="1" applyFill="1" applyBorder="1" applyAlignment="1" applyProtection="1">
      <alignment horizontal="center"/>
    </xf>
    <xf numFmtId="164" fontId="0" fillId="4" borderId="3" xfId="0" applyNumberFormat="1" applyFill="1" applyBorder="1" applyAlignment="1" applyProtection="1">
      <alignment horizontal="center"/>
    </xf>
    <xf numFmtId="164" fontId="2" fillId="3" borderId="2" xfId="0" applyNumberFormat="1" applyFont="1" applyFill="1" applyBorder="1" applyAlignment="1" applyProtection="1">
      <alignment horizontal="center"/>
    </xf>
    <xf numFmtId="164" fontId="2" fillId="3" borderId="3" xfId="0" applyNumberFormat="1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5" borderId="2" xfId="0" applyFont="1" applyFill="1" applyBorder="1" applyAlignment="1" applyProtection="1">
      <alignment horizontal="center"/>
    </xf>
    <xf numFmtId="0" fontId="1" fillId="5" borderId="3" xfId="0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14" fontId="0" fillId="0" borderId="0" xfId="0" applyNumberForma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28</xdr:row>
      <xdr:rowOff>152400</xdr:rowOff>
    </xdr:from>
    <xdr:to>
      <xdr:col>7</xdr:col>
      <xdr:colOff>123825</xdr:colOff>
      <xdr:row>39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905375"/>
          <a:ext cx="490537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46</xdr:row>
      <xdr:rowOff>76200</xdr:rowOff>
    </xdr:from>
    <xdr:to>
      <xdr:col>6</xdr:col>
      <xdr:colOff>28575</xdr:colOff>
      <xdr:row>49</xdr:row>
      <xdr:rowOff>57150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10825"/>
          <a:ext cx="4124325" cy="4667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54</xdr:row>
      <xdr:rowOff>133350</xdr:rowOff>
    </xdr:from>
    <xdr:to>
      <xdr:col>6</xdr:col>
      <xdr:colOff>38100</xdr:colOff>
      <xdr:row>57</xdr:row>
      <xdr:rowOff>152400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11639550"/>
          <a:ext cx="4133850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46</xdr:row>
      <xdr:rowOff>19050</xdr:rowOff>
    </xdr:from>
    <xdr:to>
      <xdr:col>12</xdr:col>
      <xdr:colOff>438150</xdr:colOff>
      <xdr:row>49</xdr:row>
      <xdr:rowOff>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05450" y="7696200"/>
          <a:ext cx="384810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topLeftCell="A60" workbookViewId="0">
      <selection activeCell="B77" sqref="B77"/>
    </sheetView>
  </sheetViews>
  <sheetFormatPr defaultRowHeight="12.75"/>
  <cols>
    <col min="1" max="14" width="10.28515625" style="1" customWidth="1"/>
    <col min="15" max="16384" width="9.140625" style="1"/>
  </cols>
  <sheetData>
    <row r="1" spans="1:9" ht="13.5" thickBot="1"/>
    <row r="2" spans="1:9" ht="13.5" thickBot="1">
      <c r="A2" s="44" t="s">
        <v>0</v>
      </c>
      <c r="B2" s="45"/>
      <c r="C2" s="50" t="s">
        <v>1</v>
      </c>
      <c r="D2" s="51"/>
      <c r="F2" s="2" t="s">
        <v>30</v>
      </c>
      <c r="G2" s="1" t="s">
        <v>51</v>
      </c>
    </row>
    <row r="3" spans="1:9" ht="13.5" thickBot="1">
      <c r="A3" s="46" t="s">
        <v>16</v>
      </c>
      <c r="B3" s="47"/>
      <c r="C3" s="48" t="s">
        <v>2</v>
      </c>
      <c r="D3" s="49"/>
      <c r="F3" s="2" t="s">
        <v>52</v>
      </c>
      <c r="G3" s="1" t="str">
        <f>COMPLEX(-0.5,SQRT(3)/2)</f>
        <v>-0.5+0.866025403784439i</v>
      </c>
    </row>
    <row r="4" spans="1:9">
      <c r="F4" s="2"/>
      <c r="I4" s="3"/>
    </row>
    <row r="6" spans="1:9" ht="15">
      <c r="A6" s="4" t="s">
        <v>10</v>
      </c>
    </row>
    <row r="7" spans="1:9" ht="13.5" thickBot="1"/>
    <row r="8" spans="1:9" ht="13.5" thickBot="1">
      <c r="A8" s="1" t="s">
        <v>3</v>
      </c>
      <c r="B8" s="36">
        <v>1.0900000000000001</v>
      </c>
      <c r="C8" s="1" t="s">
        <v>4</v>
      </c>
      <c r="D8" s="36">
        <v>5.82</v>
      </c>
      <c r="E8" s="1" t="s">
        <v>9</v>
      </c>
      <c r="F8" s="38">
        <v>80</v>
      </c>
      <c r="G8" s="1" t="s">
        <v>8</v>
      </c>
      <c r="H8" s="36">
        <v>1200</v>
      </c>
    </row>
    <row r="9" spans="1:9" ht="13.5" thickBot="1">
      <c r="A9" s="1" t="s">
        <v>5</v>
      </c>
      <c r="B9" s="37">
        <v>4</v>
      </c>
      <c r="C9" s="1" t="s">
        <v>6</v>
      </c>
      <c r="D9" s="37">
        <v>20.14</v>
      </c>
      <c r="G9" s="1" t="s">
        <v>7</v>
      </c>
      <c r="H9" s="37">
        <v>24</v>
      </c>
    </row>
    <row r="11" spans="1:9" ht="15">
      <c r="A11" s="4" t="s">
        <v>83</v>
      </c>
    </row>
    <row r="12" spans="1:9" ht="12.75" customHeight="1">
      <c r="A12" s="3" t="s">
        <v>23</v>
      </c>
    </row>
    <row r="14" spans="1:9" ht="13.5" thickBot="1">
      <c r="B14" s="11" t="s">
        <v>15</v>
      </c>
      <c r="C14" s="11" t="s">
        <v>14</v>
      </c>
    </row>
    <row r="15" spans="1:9">
      <c r="A15" s="1" t="s">
        <v>11</v>
      </c>
      <c r="B15" s="30">
        <v>-11.4</v>
      </c>
      <c r="C15" s="31">
        <v>-80.8</v>
      </c>
      <c r="E15" s="1" t="s">
        <v>24</v>
      </c>
      <c r="F15" s="5">
        <f>(B15^2+C15^2)^0.5</f>
        <v>81.60024509767112</v>
      </c>
      <c r="G15" s="1" t="s">
        <v>27</v>
      </c>
      <c r="H15" s="5">
        <f>(180/PI())*ATAN2(B15,C15)</f>
        <v>-98.03080300901243</v>
      </c>
    </row>
    <row r="16" spans="1:9">
      <c r="A16" s="1" t="s">
        <v>12</v>
      </c>
      <c r="B16" s="32">
        <v>-64.599999999999994</v>
      </c>
      <c r="C16" s="33">
        <v>50</v>
      </c>
      <c r="E16" s="1" t="s">
        <v>25</v>
      </c>
      <c r="F16" s="6">
        <f t="shared" ref="F16:F17" si="0">(B16^2+C16^2)^0.5</f>
        <v>81.689411798592346</v>
      </c>
      <c r="G16" s="1" t="s">
        <v>28</v>
      </c>
      <c r="H16" s="6">
        <f t="shared" ref="H16:H17" si="1">(180/PI())*ATAN2(B16,C16)</f>
        <v>142.26035077074883</v>
      </c>
      <c r="I16" s="7"/>
    </row>
    <row r="17" spans="1:10" ht="13.5" thickBot="1">
      <c r="A17" s="1" t="s">
        <v>13</v>
      </c>
      <c r="B17" s="34">
        <v>76</v>
      </c>
      <c r="C17" s="35">
        <v>30.6</v>
      </c>
      <c r="E17" s="1" t="s">
        <v>26</v>
      </c>
      <c r="F17" s="8">
        <f t="shared" si="0"/>
        <v>81.928993646937954</v>
      </c>
      <c r="G17" s="1" t="s">
        <v>29</v>
      </c>
      <c r="H17" s="8">
        <f t="shared" si="1"/>
        <v>21.931272771482192</v>
      </c>
      <c r="I17" s="9"/>
    </row>
    <row r="19" spans="1:10" ht="15">
      <c r="A19" s="4" t="s">
        <v>80</v>
      </c>
    </row>
    <row r="20" spans="1:10" ht="13.5" thickBot="1"/>
    <row r="21" spans="1:10">
      <c r="A21" s="1" t="s">
        <v>17</v>
      </c>
      <c r="B21" s="30">
        <v>-7.9</v>
      </c>
      <c r="C21" s="31">
        <v>-13.6</v>
      </c>
      <c r="E21" s="1" t="s">
        <v>31</v>
      </c>
      <c r="F21" s="5">
        <f t="shared" ref="F21:F26" si="2">(B21^2+C21^2)^0.5</f>
        <v>15.728000508646989</v>
      </c>
      <c r="G21" s="1" t="s">
        <v>38</v>
      </c>
      <c r="H21" s="5">
        <f t="shared" ref="H21:H26" si="3">(180/PI())*ATAN2(B21,C21)</f>
        <v>-120.15154798182211</v>
      </c>
      <c r="I21" s="9"/>
      <c r="J21" s="9"/>
    </row>
    <row r="22" spans="1:10">
      <c r="A22" s="1" t="s">
        <v>18</v>
      </c>
      <c r="B22" s="32">
        <v>-17</v>
      </c>
      <c r="C22" s="33">
        <v>15.4</v>
      </c>
      <c r="E22" s="1" t="s">
        <v>32</v>
      </c>
      <c r="F22" s="6">
        <f t="shared" si="2"/>
        <v>22.93817778290159</v>
      </c>
      <c r="G22" s="1" t="s">
        <v>39</v>
      </c>
      <c r="H22" s="6">
        <f t="shared" si="3"/>
        <v>137.82712457816129</v>
      </c>
    </row>
    <row r="23" spans="1:10">
      <c r="A23" s="1" t="s">
        <v>19</v>
      </c>
      <c r="B23" s="32">
        <v>87.3</v>
      </c>
      <c r="C23" s="33">
        <v>33.4</v>
      </c>
      <c r="E23" s="1" t="s">
        <v>33</v>
      </c>
      <c r="F23" s="6">
        <f t="shared" si="2"/>
        <v>93.471118534015616</v>
      </c>
      <c r="G23" s="1" t="s">
        <v>40</v>
      </c>
      <c r="H23" s="6">
        <f t="shared" si="3"/>
        <v>20.936289613805858</v>
      </c>
    </row>
    <row r="24" spans="1:10">
      <c r="A24" s="1" t="s">
        <v>20</v>
      </c>
      <c r="B24" s="32">
        <v>-2220</v>
      </c>
      <c r="C24" s="33">
        <v>-581</v>
      </c>
      <c r="E24" s="1" t="s">
        <v>34</v>
      </c>
      <c r="F24" s="6">
        <f t="shared" si="2"/>
        <v>2294.7681800129617</v>
      </c>
      <c r="G24" s="1" t="s">
        <v>41</v>
      </c>
      <c r="H24" s="6">
        <f t="shared" si="3"/>
        <v>-165.33395829955268</v>
      </c>
    </row>
    <row r="25" spans="1:10">
      <c r="A25" s="1" t="s">
        <v>21</v>
      </c>
      <c r="B25" s="32">
        <v>1280</v>
      </c>
      <c r="C25" s="33">
        <v>1676</v>
      </c>
      <c r="E25" s="1" t="s">
        <v>35</v>
      </c>
      <c r="F25" s="6">
        <f t="shared" si="2"/>
        <v>2108.8802716133509</v>
      </c>
      <c r="G25" s="1" t="s">
        <v>42</v>
      </c>
      <c r="H25" s="6">
        <f t="shared" si="3"/>
        <v>52.630189801732847</v>
      </c>
    </row>
    <row r="26" spans="1:10" ht="13.5" thickBot="1">
      <c r="A26" s="1" t="s">
        <v>22</v>
      </c>
      <c r="B26" s="34">
        <v>-60</v>
      </c>
      <c r="C26" s="35">
        <v>60</v>
      </c>
      <c r="E26" s="1" t="s">
        <v>36</v>
      </c>
      <c r="F26" s="6">
        <f t="shared" si="2"/>
        <v>84.852813742385706</v>
      </c>
      <c r="G26" s="1" t="s">
        <v>43</v>
      </c>
      <c r="H26" s="6">
        <f t="shared" si="3"/>
        <v>135</v>
      </c>
    </row>
    <row r="27" spans="1:10" ht="13.5" thickBot="1">
      <c r="E27" s="1" t="s">
        <v>37</v>
      </c>
      <c r="F27" s="8">
        <f>((B24+B25+B26)^2+(C24+C25+C26)^2)^0.5</f>
        <v>1527.7516159376171</v>
      </c>
      <c r="G27" s="1" t="s">
        <v>44</v>
      </c>
      <c r="H27" s="8">
        <f>(180/PI())*ATAN2(B24+B25+B26,C24+C25+C26)</f>
        <v>130.88604235860376</v>
      </c>
    </row>
    <row r="28" spans="1:10" ht="13.5" thickBot="1">
      <c r="A28" s="10"/>
      <c r="B28" s="10"/>
      <c r="C28" s="10"/>
      <c r="D28" s="10"/>
      <c r="E28" s="10"/>
      <c r="F28" s="10"/>
      <c r="G28" s="10"/>
      <c r="H28" s="10"/>
    </row>
    <row r="35" spans="1:14">
      <c r="F35" s="9"/>
    </row>
    <row r="41" spans="1:14" ht="13.5" thickBot="1">
      <c r="B41" s="11" t="s">
        <v>53</v>
      </c>
      <c r="C41" s="11" t="s">
        <v>54</v>
      </c>
      <c r="F41" s="11" t="s">
        <v>53</v>
      </c>
      <c r="G41" s="11" t="s">
        <v>54</v>
      </c>
    </row>
    <row r="42" spans="1:14">
      <c r="A42" s="1" t="s">
        <v>45</v>
      </c>
      <c r="B42" s="12">
        <f>IMABS(IMPRODUCT(IMSUM(COMPLEX(B21*(1000/$H$8),C21*(1000/$H$8)),COMPLEX(B22*(1000/$H$8),C22*(1000/$H$8)),COMPLEX(B23*(1000/$H$8),C23*(1000/$H$8))),1/3))</f>
        <v>19.900989490878285</v>
      </c>
      <c r="C42" s="13">
        <f>(180/PI())*IMARGUMENT(IMPRODUCT(1/3,IMSUM(COMPLEX($B$21*(1000/$H$8),$C$21*(1000/$H$8)),COMPLEX($B$22*(1000/$H$8),$C$22*(1000/$H$8)),COMPLEX($B$23*(1000/$H$8),$C$23*(1000/$H$8)))))</f>
        <v>29.427456403189769</v>
      </c>
      <c r="E42" s="1" t="s">
        <v>48</v>
      </c>
      <c r="F42" s="12">
        <f>IMABS(IMPRODUCT(1/3,IMSUM(COMPLEX(B24/$H$9,C24/$H$9),COMPLEX(B25/$H$9,C25/$H$9),COMPLEX(B26/$H$9,C26/$H$9))))</f>
        <v>21.218772443578047</v>
      </c>
      <c r="G42" s="13">
        <f>(180/PI())*IMARGUMENT(IMPRODUCT(1/3,IMSUM(COMPLEX(B24/$H$9,C24/$H$9),COMPLEX(B25/$H$9,C25/$H$9),COMPLEX(B26/$H$9,C26/$H$9))))</f>
        <v>130.8860423586037</v>
      </c>
    </row>
    <row r="43" spans="1:14">
      <c r="A43" s="1" t="s">
        <v>46</v>
      </c>
      <c r="B43" s="14">
        <f>IMABS(IMPRODUCT(IMSUM(COMPLEX($B$21*(1000/$H$8),$C$21*(1000/$H$8)),IMPRODUCT($G$3,COMPLEX($B$22*(1000/$H$8),$C$22*(1000/$H$8))),IMPRODUCT($G$3,$G$3,COMPLEX($B$23*(1000/$H$8),$C$23*(1000/$H$8)))),1/3))</f>
        <v>36.453308119214121</v>
      </c>
      <c r="C43" s="15">
        <f>(180/PI())*IMARGUMENT(IMPRODUCT(IMSUM(COMPLEX($B$21*(1000/$H$8),$C$21*(1000/$H$8)),IMPRODUCT($G$3,COMPLEX($B$22*(1000/$H$8),$C$22*(1000/$H$8))),IMPRODUCT($G$3,$G$3,COMPLEX($B$23*(1000/$H$8),$C$23*(1000/$H$8)))),1/3))</f>
        <v>-102.07896908604691</v>
      </c>
      <c r="E43" s="1" t="s">
        <v>49</v>
      </c>
      <c r="F43" s="14">
        <f>IMABS(IMPRODUCT(IMSUM(COMPLEX(B24/$H$9,C24/$H$9),IMPRODUCT($G$3,COMPLEX(B25/$H$9,C25/$H$9)),IMPRODUCT($G$3,$G$3,COMPLEX(B26/$H$9,C26/$H$9))),1/3))</f>
        <v>58.87954024690093</v>
      </c>
      <c r="G43" s="15">
        <f>(180/PI())*IMARGUMENT(IMPRODUCT(IMSUM(COMPLEX(B24/$H$9,C24/$H$9),IMPRODUCT($G$3,COMPLEX(B25/$H$9,C25/$H$9)),IMPRODUCT($G$3,$G$3,COMPLEX(B26/$H$9,C26/$H$9))),1/3))</f>
        <v>-176.09746801828896</v>
      </c>
    </row>
    <row r="44" spans="1:14" ht="13.5" thickBot="1">
      <c r="A44" s="1" t="s">
        <v>47</v>
      </c>
      <c r="B44" s="16">
        <f>IMABS(IMPRODUCT(IMSUM(COMPLEX($B$21*(1000/$H$8),$C$21*(1000/$H$8)),IMPRODUCT($G$3,$G$3,COMPLEX($B$22*(1000/$H$8),$C$22*(1000/$H$8))),IMPRODUCT($G$3,COMPLEX($B$23*(1000/$H$8),$C$23*(1000/$H$8)))),1/3))</f>
        <v>21.830799259336313</v>
      </c>
      <c r="C44" s="17">
        <f>(180/PI())*IMARGUMENT(IMPRODUCT(IMSUM(COMPLEX($B$21*(1000/$H$8),$C$21*(1000/$H$8)),IMPRODUCT($G$3,$G$3,COMPLEX($B$22*(1000/$H$8),$C$22*(1000/$H$8))),IMPRODUCT($G$3,COMPLEX($B$23*(1000/$H$8),$C$23*(1000/$H$8)))),1/3))</f>
        <v>138.25564273767782</v>
      </c>
      <c r="E44" s="1" t="s">
        <v>50</v>
      </c>
      <c r="F44" s="16">
        <f>IMABS(IMPRODUCT(IMSUM(COMPLEX(B24/$H$9,C24/$H$9),IMPRODUCT($G$3,$G$3,COMPLEX(B25/$H$9,C25/$H$9)),IMPRODUCT($G$3,COMPLEX(B26/$H$9,C26/$H$9))),1/3))</f>
        <v>41.331273875724172</v>
      </c>
      <c r="G44" s="17">
        <f>(180/PI())*IMARGUMENT(IMPRODUCT(IMSUM(COMPLEX(B24/$H$9,C24/$H$9),IMPRODUCT($G$3,$G$3,COMPLEX(B25/$H$9,C25/$H$9)),IMPRODUCT($G$3,COMPLEX(B26/$H$9,C26/$H$9))),1/3))</f>
        <v>-118.73137219890341</v>
      </c>
    </row>
    <row r="45" spans="1:14" ht="13.5" thickBo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3"/>
    </row>
    <row r="50" spans="1:14" ht="13.5" thickBot="1"/>
    <row r="51" spans="1:14" ht="13.5" thickBot="1">
      <c r="H51" s="1" t="s">
        <v>65</v>
      </c>
      <c r="I51" s="42" t="str">
        <f>IMPRODUCT(COMPLEX(B8,D8),H9/H8)</f>
        <v>0.0218+0.1164i</v>
      </c>
      <c r="J51" s="43"/>
      <c r="K51" s="1" t="s">
        <v>71</v>
      </c>
      <c r="L51" s="42" t="str">
        <f>IMPRODUCT(COMPLEX(B9,D9),H9/H8)</f>
        <v>0.08+0.4028i</v>
      </c>
      <c r="M51" s="43"/>
    </row>
    <row r="52" spans="1:14">
      <c r="A52" s="1" t="s">
        <v>70</v>
      </c>
      <c r="B52" s="1" t="str">
        <f>IMDIV(IMSUB(L51,I51),(IMPRODUCT(3,I51)))</f>
        <v>0.822523922933215-0.0126200900348445i</v>
      </c>
      <c r="I52" s="20"/>
      <c r="J52" s="20"/>
      <c r="K52" s="21"/>
      <c r="L52" s="22"/>
      <c r="M52" s="22"/>
    </row>
    <row r="53" spans="1:14">
      <c r="H53" s="1" t="s">
        <v>64</v>
      </c>
      <c r="K53" s="1" t="s">
        <v>66</v>
      </c>
      <c r="L53" s="24">
        <f>IMARGUMENT(I51)</f>
        <v>1.3856558671997932</v>
      </c>
      <c r="M53" s="25"/>
      <c r="N53" s="23"/>
    </row>
    <row r="54" spans="1:14">
      <c r="A54" s="1" t="s">
        <v>55</v>
      </c>
      <c r="B54" s="18">
        <f>IMABS(IMPRODUCT(IMSUM(COMPLEX($B$15*(1000/$H$8),$C$15*(1000/$H$8)),IMPRODUCT($G$3,COMPLEX($B$16*(1000/$H$8),$C$16*(1000/$H$8))),IMPRODUCT($G$3,$G$3,COMPLEX($B$17*(1000/$H$8),$C$17*(1000/$H$8)))),1/3))</f>
        <v>68.116067620375205</v>
      </c>
      <c r="D54" s="19" t="s">
        <v>56</v>
      </c>
      <c r="E54" s="18">
        <f>IMARGUMENT(IMPRODUCT(IMSUM(COMPLEX($B$15*(1000/$H$8),$C$15*(1000/$H$8)),IMPRODUCT($G$3,COMPLEX($B$16*(1000/$H$8),$C$16*(1000/$H$8))),IMPRODUCT($G$3,$G$3,COMPLEX($B$17*(1000/$H$8),$C$17*(1000/$H$8)))),1/3))</f>
        <v>-1.7094886032670102</v>
      </c>
      <c r="F54" s="1" t="s">
        <v>72</v>
      </c>
      <c r="L54" s="24"/>
      <c r="M54" s="26"/>
    </row>
    <row r="55" spans="1:14">
      <c r="H55" s="1" t="s">
        <v>63</v>
      </c>
      <c r="K55" s="1" t="s">
        <v>62</v>
      </c>
      <c r="L55" s="24">
        <f>RADIANS(F8)-L53</f>
        <v>1.0607534395670415E-2</v>
      </c>
      <c r="M55" s="26"/>
    </row>
    <row r="56" spans="1:14">
      <c r="L56" s="24"/>
      <c r="M56" s="26"/>
    </row>
    <row r="57" spans="1:14">
      <c r="H57" s="1" t="s">
        <v>67</v>
      </c>
      <c r="K57" s="1" t="s">
        <v>68</v>
      </c>
      <c r="L57" s="27" t="str">
        <f>IMEXP(IMPRODUCT(COMPLEX(0,1),L55*0.017))</f>
        <v>0.999999983740891+0.000180328083749072i</v>
      </c>
      <c r="M57" s="28"/>
    </row>
    <row r="59" spans="1:14" ht="13.5" thickBot="1"/>
    <row r="60" spans="1:14">
      <c r="A60" s="1" t="s">
        <v>57</v>
      </c>
      <c r="B60" s="5" t="str">
        <f>IMSUB(COMPLEX(B21,C21),COMPLEX(B22,C22))</f>
        <v>9.1-29i</v>
      </c>
      <c r="C60" s="1" t="s">
        <v>59</v>
      </c>
      <c r="D60" s="5" t="str">
        <f>IMSUB(COMPLEX(B22,C22),COMPLEX(B23,C23))</f>
        <v>-104.3-18i</v>
      </c>
      <c r="E60" s="1" t="s">
        <v>60</v>
      </c>
      <c r="F60" s="5" t="str">
        <f>IMSUB(COMPLEX(B23,C23),COMPLEX(B21,C21))</f>
        <v>95.2+47i</v>
      </c>
    </row>
    <row r="61" spans="1:14" ht="13.5" thickBot="1">
      <c r="A61" s="1" t="s">
        <v>58</v>
      </c>
      <c r="B61" s="29" t="str">
        <f>IMSUB(COMPLEX(B24,C24),COMPLEX(B25,C25))</f>
        <v>-3500-2257i</v>
      </c>
      <c r="C61" s="1" t="s">
        <v>73</v>
      </c>
      <c r="D61" s="8" t="str">
        <f>IMSUB(COMPLEX(B25,C25),COMPLEX(B26,C26))</f>
        <v>1340+1616i</v>
      </c>
      <c r="E61" s="1" t="s">
        <v>61</v>
      </c>
      <c r="F61" s="8" t="str">
        <f>IMSUB(COMPLEX(B26,C26),COMPLEX(B24,C24))</f>
        <v>2160+641i</v>
      </c>
    </row>
    <row r="62" spans="1:14" ht="13.5" thickBo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23"/>
    </row>
    <row r="74" spans="1:6">
      <c r="A74" s="3" t="s">
        <v>81</v>
      </c>
    </row>
    <row r="75" spans="1:6">
      <c r="A75" s="3" t="s">
        <v>82</v>
      </c>
    </row>
    <row r="76" spans="1:6" ht="13.5" thickBot="1"/>
    <row r="77" spans="1:6" ht="13.5" thickBot="1">
      <c r="A77" s="1" t="s">
        <v>69</v>
      </c>
      <c r="B77" s="39">
        <v>3.4</v>
      </c>
    </row>
    <row r="78" spans="1:6" ht="13.5" thickBot="1"/>
    <row r="79" spans="1:6" ht="13.5" thickBot="1">
      <c r="A79" s="1" t="s">
        <v>74</v>
      </c>
      <c r="B79" s="40">
        <f>IMREAL(IMPRODUCT(IMSUB(IMPRODUCT($B$77,$I$51,$L$57,IMSUM(IMDIV(COMPLEX(B24,C24),$H$9),(IMPRODUCT($B$52,(IMDIV(COMPLEX($F$27*COS(RADIANS($H$27)),$F$27*SIN(RADIANS($H$27))),$H$9)))))),(IMPRODUCT(COMPLEX(B21,C21),(IMDIV(1000,$H$8))))),IMCONJUGATE(COMPLEX($B$54*COS($E$54),$B$54*SIN($E$54)))))</f>
        <v>2609.7895526421898</v>
      </c>
      <c r="C79" s="41"/>
      <c r="D79" s="1" t="s">
        <v>75</v>
      </c>
      <c r="E79" s="40">
        <f>IMREAL(IMPRODUCT(IMSUB(IMPRODUCT($B$77,$I$51,$L$57,IMDIV(B61,$H$9)),IMPRODUCT(B60,IMDIV(1000,$H$8))),IMCONJUGATE(IMPRODUCT(-1,COMPLEX($B$54*COS($E$54),$B$54*SIN($E$54)),COMPLEX(0,1),$G$3))))</f>
        <v>3039.50837643469</v>
      </c>
      <c r="F79" s="41"/>
    </row>
    <row r="80" spans="1:6" ht="13.5" thickBot="1">
      <c r="A80" s="21" t="s">
        <v>76</v>
      </c>
      <c r="B80" s="40">
        <f>IMREAL(IMPRODUCT(IMSUB(IMPRODUCT($B$77,$I$51,$L$57,IMSUM(IMDIV(COMPLEX(B25,C25),$H$9),(IMPRODUCT($B$52,(IMDIV(COMPLEX($F$27*COS(RADIANS($H$27)),$F$27*SIN(RADIANS($H$27))),$H$9)))))),(IMPRODUCT(COMPLEX(B22,C22),(IMDIV(1000,$H$8))))),IMCONJUGATE(IMPRODUCT(COMPLEX($B$54*COS($E$54),$B$54*SIN($E$54)),$G$3,$G$3))))</f>
        <v>1627.6123069334101</v>
      </c>
      <c r="C80" s="41"/>
      <c r="D80" s="21" t="s">
        <v>77</v>
      </c>
      <c r="E80" s="40">
        <f>IMREAL(IMPRODUCT(IMSUB(IMPRODUCT($B$77,$I$51,$L$57,IMDIV(D61,$H$9)),IMPRODUCT(D60,IMDIV(1000,$H$8))),IMCONJUGATE(IMPRODUCT(-1,COMPLEX($B$54*COS($E$54),$B$54*SIN($E$54)),COMPLEX(0,1)))))</f>
        <v>-3948.4133466017502</v>
      </c>
      <c r="F80" s="41"/>
    </row>
    <row r="81" spans="1:6" ht="13.5" thickBot="1">
      <c r="A81" s="21" t="s">
        <v>78</v>
      </c>
      <c r="B81" s="40">
        <f>IMREAL(IMPRODUCT(IMSUB(IMPRODUCT($B$77,$I$51,$L$57,IMSUM(IMDIV(COMPLEX(B26,C26),$H$9),(IMPRODUCT($B$52,(IMDIV(COMPLEX($F$27*COS(RADIANS($H$27)),$F$27*SIN(RADIANS($H$27))),$H$9)))))),(IMPRODUCT(COMPLEX(B23,C23),(IMDIV(1000,$H$8))))),IMCONJUGATE(IMPRODUCT(COMPLEX($B$54*COS($E$54),$B$54*SIN($E$54)),$G$3))))</f>
        <v>-6823.8111561648402</v>
      </c>
      <c r="C81" s="41"/>
      <c r="D81" s="21" t="s">
        <v>79</v>
      </c>
      <c r="E81" s="40">
        <f>IMREAL(IMPRODUCT(IMSUB(IMPRODUCT($B$77,$I$51,$L$57,IMDIV(F61,$H$9)),IMPRODUCT(F60,IMDIV(1000,$H$8))),IMCONJUGATE(IMPRODUCT(-1,COMPLEX($B$54*COS($E$54),$B$54*SIN($E$54)),COMPLEX(0,1),$G$3,$G$3))))</f>
        <v>-3570.8873406939401</v>
      </c>
      <c r="F81" s="41"/>
    </row>
    <row r="87" spans="1:6">
      <c r="A87" s="3" t="s">
        <v>84</v>
      </c>
    </row>
    <row r="89" spans="1:6">
      <c r="A89" s="3" t="s">
        <v>87</v>
      </c>
      <c r="B89" s="3" t="s">
        <v>85</v>
      </c>
    </row>
    <row r="90" spans="1:6">
      <c r="A90" s="1" t="s">
        <v>86</v>
      </c>
      <c r="B90" s="52">
        <v>39976</v>
      </c>
    </row>
    <row r="91" spans="1:6">
      <c r="B91" s="52"/>
    </row>
    <row r="92" spans="1:6">
      <c r="B92" s="52"/>
    </row>
    <row r="93" spans="1:6">
      <c r="B93" s="52"/>
    </row>
    <row r="94" spans="1:6">
      <c r="B94" s="52"/>
    </row>
    <row r="95" spans="1:6">
      <c r="B95" s="52"/>
    </row>
    <row r="96" spans="1:6">
      <c r="B96" s="52"/>
    </row>
    <row r="97" spans="2:3">
      <c r="B97" s="52"/>
    </row>
    <row r="98" spans="2:3">
      <c r="B98" s="52"/>
    </row>
    <row r="99" spans="2:3">
      <c r="B99" s="52"/>
    </row>
    <row r="106" spans="2:3">
      <c r="C106" s="23"/>
    </row>
    <row r="107" spans="2:3">
      <c r="C107" s="23"/>
    </row>
  </sheetData>
  <sheetProtection password="E359" sheet="1" objects="1" scenarios="1" selectLockedCells="1"/>
  <mergeCells count="12">
    <mergeCell ref="L51:M51"/>
    <mergeCell ref="A2:B2"/>
    <mergeCell ref="A3:B3"/>
    <mergeCell ref="C3:D3"/>
    <mergeCell ref="C2:D2"/>
    <mergeCell ref="I51:J51"/>
    <mergeCell ref="B79:C79"/>
    <mergeCell ref="B80:C80"/>
    <mergeCell ref="B81:C81"/>
    <mergeCell ref="E79:F79"/>
    <mergeCell ref="E80:F80"/>
    <mergeCell ref="E81:F81"/>
  </mergeCells>
  <pageMargins left="0.7" right="0.7" top="0.75" bottom="0.75" header="0.3" footer="0.3"/>
  <pageSetup orientation="portrait" r:id="rId1"/>
  <drawing r:id="rId2"/>
  <legacyDrawing r:id="rId3"/>
  <oleObjects>
    <oleObject progId="Mathcad" shapeId="1032" r:id="rId4"/>
    <oleObject progId="Mathcad" shapeId="1033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Schweitzer Engineering Laboratories,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Swinghamer</dc:creator>
  <cp:lastModifiedBy>Andrew Swinghamer</cp:lastModifiedBy>
  <cp:lastPrinted>2009-06-12T21:36:44Z</cp:lastPrinted>
  <dcterms:created xsi:type="dcterms:W3CDTF">2009-05-19T17:39:52Z</dcterms:created>
  <dcterms:modified xsi:type="dcterms:W3CDTF">2009-06-12T22:11:40Z</dcterms:modified>
</cp:coreProperties>
</file>