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K:\Literature\AppGuide-Working\AG2021-xx_SK_HAY\"/>
    </mc:Choice>
  </mc:AlternateContent>
  <xr:revisionPtr revIDLastSave="0" documentId="13_ncr:1_{577C6E63-5F53-4C6E-8FAA-4943E74FCCA4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N12" i="1"/>
  <c r="R33" i="1"/>
  <c r="T39" i="1"/>
  <c r="S39" i="1"/>
  <c r="R39" i="1"/>
  <c r="T37" i="1"/>
  <c r="S37" i="1"/>
  <c r="R37" i="1"/>
  <c r="T36" i="1"/>
  <c r="S36" i="1"/>
  <c r="R36" i="1"/>
  <c r="T34" i="1"/>
  <c r="S34" i="1"/>
  <c r="R34" i="1"/>
  <c r="T35" i="1"/>
  <c r="S35" i="1"/>
  <c r="R35" i="1"/>
  <c r="T33" i="1"/>
  <c r="S33" i="1"/>
  <c r="R22" i="1"/>
  <c r="T25" i="1"/>
  <c r="S25" i="1"/>
  <c r="R25" i="1"/>
  <c r="T23" i="1"/>
  <c r="S23" i="1"/>
  <c r="R23" i="1"/>
  <c r="T28" i="1"/>
  <c r="S28" i="1"/>
  <c r="R28" i="1"/>
  <c r="T26" i="1"/>
  <c r="S26" i="1"/>
  <c r="R26" i="1"/>
  <c r="T24" i="1"/>
  <c r="S24" i="1"/>
  <c r="R24" i="1"/>
  <c r="T22" i="1"/>
  <c r="S22" i="1"/>
  <c r="M21" i="1" s="1"/>
  <c r="N19" i="1" l="1"/>
  <c r="M19" i="1"/>
  <c r="L19" i="1"/>
  <c r="N18" i="1"/>
  <c r="M18" i="1"/>
  <c r="L18" i="1"/>
  <c r="T40" i="1" l="1"/>
  <c r="S40" i="1"/>
  <c r="R40" i="1"/>
  <c r="T29" i="1"/>
  <c r="S29" i="1"/>
  <c r="R29" i="1"/>
  <c r="T27" i="1"/>
  <c r="S27" i="1"/>
  <c r="R27" i="1"/>
  <c r="L21" i="1"/>
  <c r="N21" i="1" l="1"/>
  <c r="M22" i="1"/>
  <c r="L22" i="1"/>
  <c r="N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Saurabh Kothari</author>
    <author>bhagy</author>
  </authors>
  <commentList>
    <comment ref="N8" authorId="0" shapeId="0" xr:uid="{879C2B57-F952-470F-9358-85709F4C9214}">
      <text>
        <r>
          <rPr>
            <b/>
            <sz val="9"/>
            <color indexed="81"/>
            <rFont val="Tahoma"/>
            <family val="2"/>
          </rPr>
          <t>Enter VA primary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 shapeId="0" xr:uid="{7AABFA00-F01B-457F-BCEA-7CA9E02BD5A9}">
      <text>
        <r>
          <rPr>
            <b/>
            <sz val="9"/>
            <color indexed="81"/>
            <rFont val="Tahoma"/>
            <family val="2"/>
          </rPr>
          <t>Enter CT ratio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 xr:uid="{E5366D17-F88C-4472-9744-C0ADE9233654}">
      <text>
        <r>
          <rPr>
            <b/>
            <sz val="9"/>
            <color indexed="81"/>
            <rFont val="Tahoma"/>
            <family val="2"/>
          </rPr>
          <t>Enter PT ratio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1" shapeId="0" xr:uid="{2821B048-4D37-4EE6-8450-0D76E852C2A9}">
      <text>
        <r>
          <rPr>
            <sz val="9"/>
            <color indexed="81"/>
            <rFont val="Tahoma"/>
            <family val="2"/>
          </rPr>
          <t xml:space="preserve">Enter nominal line-to-neutral voltage
</t>
        </r>
      </text>
    </comment>
  </commentList>
</comments>
</file>

<file path=xl/sharedStrings.xml><?xml version="1.0" encoding="utf-8"?>
<sst xmlns="http://schemas.openxmlformats.org/spreadsheetml/2006/main" count="41" uniqueCount="29">
  <si>
    <t>Test Quantities</t>
  </si>
  <si>
    <t>CTR</t>
  </si>
  <si>
    <t>PTR</t>
  </si>
  <si>
    <t>VA</t>
  </si>
  <si>
    <t>VB</t>
  </si>
  <si>
    <t>Mag.</t>
  </si>
  <si>
    <t>Angle</t>
  </si>
  <si>
    <t>VC</t>
  </si>
  <si>
    <t>IA</t>
  </si>
  <si>
    <t>IB</t>
  </si>
  <si>
    <t>IC</t>
  </si>
  <si>
    <t>PHROT</t>
  </si>
  <si>
    <t>PF</t>
  </si>
  <si>
    <t>Type</t>
  </si>
  <si>
    <t>Pos. WATTS</t>
  </si>
  <si>
    <t>Neg. WATTS</t>
  </si>
  <si>
    <t>Pos. VARS</t>
  </si>
  <si>
    <t>Neg. VARS</t>
  </si>
  <si>
    <t>Phase</t>
  </si>
  <si>
    <t>What Phase</t>
  </si>
  <si>
    <t>PTCONN</t>
  </si>
  <si>
    <t>Testing Power Element Spreadsheet</t>
  </si>
  <si>
    <t>Value</t>
  </si>
  <si>
    <t>Three-Phase Wye &amp; Delta Connected PT</t>
  </si>
  <si>
    <t>Single-Phase Testing</t>
  </si>
  <si>
    <t>Conversion From Primary Power to Secondary Power</t>
  </si>
  <si>
    <t>Calculated Secondary Value (Secondary VA)</t>
  </si>
  <si>
    <t>Nominal Voltage, L-N (Secondary V)</t>
  </si>
  <si>
    <t>Set Point (Primary 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</si>
</sst>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3" borderId="0" xfId="2"/>
    <xf numFmtId="0" fontId="2" fillId="5" borderId="2" xfId="4" applyBorder="1" applyAlignment="1">
      <alignment horizontal="center"/>
    </xf>
    <xf numFmtId="0" fontId="5" fillId="0" borderId="0" xfId="7" applyFill="1" applyBorder="1" applyAlignment="1"/>
    <xf numFmtId="0" fontId="5" fillId="0" borderId="0" xfId="7" applyFill="1" applyBorder="1"/>
    <xf numFmtId="0" fontId="4" fillId="3" borderId="0" xfId="2" applyBorder="1"/>
    <xf numFmtId="0" fontId="4" fillId="3" borderId="1" xfId="2" applyBorder="1" applyAlignment="1">
      <alignment horizontal="center"/>
    </xf>
    <xf numFmtId="0" fontId="4" fillId="3" borderId="3" xfId="2" applyBorder="1" applyAlignment="1">
      <alignment horizontal="center"/>
    </xf>
    <xf numFmtId="0" fontId="3" fillId="2" borderId="2" xfId="1" applyBorder="1" applyAlignment="1">
      <alignment horizontal="center"/>
    </xf>
    <xf numFmtId="0" fontId="5" fillId="9" borderId="2" xfId="7" applyFont="1" applyFill="1" applyBorder="1" applyAlignment="1">
      <alignment horizontal="center"/>
    </xf>
    <xf numFmtId="0" fontId="5" fillId="0" borderId="0" xfId="0" applyFont="1" applyFill="1"/>
    <xf numFmtId="0" fontId="5" fillId="0" borderId="0" xfId="7" applyFont="1" applyFill="1" applyBorder="1" applyAlignment="1"/>
    <xf numFmtId="0" fontId="5" fillId="0" borderId="0" xfId="0" applyFont="1"/>
    <xf numFmtId="2" fontId="3" fillId="2" borderId="2" xfId="1" applyNumberFormat="1" applyBorder="1" applyAlignment="1">
      <alignment horizontal="center"/>
    </xf>
    <xf numFmtId="0" fontId="0" fillId="10" borderId="0" xfId="0" applyFill="1"/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0" fillId="0" borderId="10" xfId="0" applyBorder="1"/>
    <xf numFmtId="0" fontId="3" fillId="0" borderId="0" xfId="1" applyFill="1" applyBorder="1" applyAlignment="1">
      <alignment vertical="center"/>
    </xf>
    <xf numFmtId="0" fontId="2" fillId="10" borderId="11" xfId="6" applyFill="1" applyBorder="1"/>
    <xf numFmtId="0" fontId="8" fillId="5" borderId="9" xfId="4" applyFont="1" applyBorder="1"/>
    <xf numFmtId="0" fontId="0" fillId="0" borderId="11" xfId="0" applyBorder="1"/>
    <xf numFmtId="0" fontId="3" fillId="2" borderId="13" xfId="1" applyBorder="1" applyAlignment="1">
      <alignment vertical="center"/>
    </xf>
    <xf numFmtId="0" fontId="11" fillId="0" borderId="0" xfId="0" applyFont="1" applyFill="1"/>
    <xf numFmtId="0" fontId="8" fillId="5" borderId="7" xfId="4" applyFont="1" applyBorder="1"/>
    <xf numFmtId="0" fontId="0" fillId="0" borderId="11" xfId="0" applyFill="1" applyBorder="1"/>
    <xf numFmtId="0" fontId="5" fillId="9" borderId="8" xfId="7" applyFont="1" applyFill="1" applyBorder="1"/>
    <xf numFmtId="0" fontId="5" fillId="9" borderId="9" xfId="7" applyFont="1" applyFill="1" applyBorder="1" applyAlignment="1">
      <alignment horizontal="center"/>
    </xf>
    <xf numFmtId="0" fontId="5" fillId="9" borderId="8" xfId="7" applyFont="1" applyFill="1" applyBorder="1" applyAlignment="1">
      <alignment horizontal="center"/>
    </xf>
    <xf numFmtId="2" fontId="3" fillId="2" borderId="9" xfId="1" applyNumberFormat="1" applyBorder="1" applyAlignment="1">
      <alignment horizontal="center"/>
    </xf>
    <xf numFmtId="0" fontId="3" fillId="2" borderId="9" xfId="1" applyBorder="1" applyAlignment="1">
      <alignment horizontal="center"/>
    </xf>
    <xf numFmtId="0" fontId="5" fillId="9" borderId="19" xfId="7" applyFont="1" applyFill="1" applyBorder="1" applyAlignment="1">
      <alignment horizontal="center"/>
    </xf>
    <xf numFmtId="2" fontId="3" fillId="2" borderId="12" xfId="1" applyNumberFormat="1" applyBorder="1" applyAlignment="1">
      <alignment horizontal="center"/>
    </xf>
    <xf numFmtId="2" fontId="3" fillId="2" borderId="13" xfId="1" applyNumberFormat="1" applyBorder="1" applyAlignment="1">
      <alignment horizontal="center"/>
    </xf>
    <xf numFmtId="0" fontId="4" fillId="3" borderId="4" xfId="2" applyBorder="1"/>
    <xf numFmtId="0" fontId="9" fillId="0" borderId="0" xfId="5" applyFont="1" applyFill="1" applyBorder="1" applyAlignment="1">
      <alignment vertical="center"/>
    </xf>
    <xf numFmtId="0" fontId="11" fillId="0" borderId="0" xfId="0" applyFont="1"/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6" fillId="4" borderId="24" xfId="3" applyFont="1" applyBorder="1" applyAlignment="1">
      <alignment horizontal="center" vertical="center"/>
    </xf>
    <xf numFmtId="0" fontId="6" fillId="4" borderId="21" xfId="3" applyFont="1" applyBorder="1" applyAlignment="1">
      <alignment horizontal="center" vertical="center"/>
    </xf>
    <xf numFmtId="0" fontId="6" fillId="4" borderId="22" xfId="3" applyFont="1" applyBorder="1" applyAlignment="1">
      <alignment horizontal="center" vertical="center"/>
    </xf>
    <xf numFmtId="0" fontId="6" fillId="4" borderId="25" xfId="3" applyFont="1" applyBorder="1" applyAlignment="1">
      <alignment horizontal="center" vertical="center"/>
    </xf>
    <xf numFmtId="0" fontId="6" fillId="4" borderId="4" xfId="3" applyFont="1" applyBorder="1" applyAlignment="1">
      <alignment horizontal="center" vertical="center"/>
    </xf>
    <xf numFmtId="0" fontId="6" fillId="4" borderId="23" xfId="3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5" borderId="20" xfId="4" applyBorder="1" applyAlignment="1">
      <alignment horizontal="center" vertical="center" wrapText="1"/>
    </xf>
    <xf numFmtId="0" fontId="2" fillId="5" borderId="2" xfId="4" applyBorder="1" applyAlignment="1">
      <alignment horizontal="center" vertical="center" wrapText="1"/>
    </xf>
    <xf numFmtId="0" fontId="7" fillId="9" borderId="8" xfId="7" applyFont="1" applyFill="1" applyBorder="1" applyAlignment="1">
      <alignment horizontal="center"/>
    </xf>
    <xf numFmtId="0" fontId="7" fillId="9" borderId="2" xfId="7" applyFont="1" applyFill="1" applyBorder="1" applyAlignment="1">
      <alignment horizontal="center"/>
    </xf>
    <xf numFmtId="0" fontId="7" fillId="9" borderId="9" xfId="7" applyFont="1" applyFill="1" applyBorder="1" applyAlignment="1">
      <alignment horizontal="center"/>
    </xf>
    <xf numFmtId="0" fontId="4" fillId="3" borderId="21" xfId="2" applyBorder="1" applyAlignment="1">
      <alignment horizontal="center" wrapText="1"/>
    </xf>
    <xf numFmtId="0" fontId="4" fillId="3" borderId="22" xfId="2" applyBorder="1" applyAlignment="1">
      <alignment horizontal="center" wrapText="1"/>
    </xf>
    <xf numFmtId="0" fontId="4" fillId="3" borderId="4" xfId="2" applyBorder="1" applyAlignment="1">
      <alignment horizontal="center" wrapText="1"/>
    </xf>
    <xf numFmtId="0" fontId="4" fillId="3" borderId="23" xfId="2" applyBorder="1" applyAlignment="1">
      <alignment horizontal="center" wrapText="1"/>
    </xf>
    <xf numFmtId="0" fontId="4" fillId="3" borderId="5" xfId="2" applyBorder="1" applyAlignment="1">
      <alignment horizontal="center"/>
    </xf>
    <xf numFmtId="0" fontId="4" fillId="3" borderId="6" xfId="2" applyBorder="1" applyAlignment="1">
      <alignment horizontal="center"/>
    </xf>
    <xf numFmtId="0" fontId="4" fillId="3" borderId="8" xfId="2" applyBorder="1" applyAlignment="1">
      <alignment horizontal="center"/>
    </xf>
    <xf numFmtId="0" fontId="4" fillId="3" borderId="2" xfId="2" applyBorder="1" applyAlignment="1">
      <alignment horizontal="center"/>
    </xf>
    <xf numFmtId="0" fontId="9" fillId="9" borderId="19" xfId="5" applyFont="1" applyFill="1" applyBorder="1" applyAlignment="1">
      <alignment horizontal="center" vertical="center" wrapText="1"/>
    </xf>
    <xf numFmtId="0" fontId="9" fillId="9" borderId="12" xfId="5" applyFont="1" applyFill="1" applyBorder="1" applyAlignment="1">
      <alignment horizontal="center" vertical="center" wrapText="1"/>
    </xf>
  </cellXfs>
  <cellStyles count="8">
    <cellStyle name="20% - Accent1" xfId="5" builtinId="30"/>
    <cellStyle name="60% - Accent3" xfId="6" builtinId="40"/>
    <cellStyle name="60% - Accent5" xfId="4" builtinId="48"/>
    <cellStyle name="Accent1" xfId="3" builtinId="29"/>
    <cellStyle name="Accent6" xfId="7" builtinId="49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S$1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S$1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S$9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S$10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$S$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$S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10584</xdr:colOff>
          <xdr:row>8</xdr:row>
          <xdr:rowOff>3176</xdr:rowOff>
        </xdr:from>
        <xdr:to>
          <xdr:col>2</xdr:col>
          <xdr:colOff>601134</xdr:colOff>
          <xdr:row>17</xdr:row>
          <xdr:rowOff>3176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48709" y="1403351"/>
              <a:ext cx="1200150" cy="1866900"/>
              <a:chOff x="628650" y="1489074"/>
              <a:chExt cx="1828800" cy="1657349"/>
            </a:xfrm>
          </xdr:grpSpPr>
          <xdr:sp macro="" textlink="">
            <xdr:nvSpPr>
              <xdr:cNvPr id="1048" name="Group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628650" y="1489074"/>
                <a:ext cx="1828800" cy="16573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Power Element Type</a:t>
                </a:r>
              </a:p>
            </xdr:txBody>
          </xdr:sp>
          <xdr:sp macro="" textlink="">
            <xdr:nvSpPr>
              <xdr:cNvPr id="1053" name="Option Button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825500" y="1691078"/>
                <a:ext cx="1085850" cy="2083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+ WATTS</a:t>
                </a:r>
              </a:p>
            </xdr:txBody>
          </xdr:sp>
          <xdr:sp macro="" textlink="">
            <xdr:nvSpPr>
              <xdr:cNvPr id="1054" name="Option Button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825500" y="2079371"/>
                <a:ext cx="1085850" cy="2083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- WATTS</a:t>
                </a:r>
              </a:p>
            </xdr:txBody>
          </xdr:sp>
          <xdr:sp macro="" textlink="">
            <xdr:nvSpPr>
              <xdr:cNvPr id="1055" name="Option Button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825500" y="2439253"/>
                <a:ext cx="1085850" cy="2083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+ VARS</a:t>
                </a:r>
              </a:p>
            </xdr:txBody>
          </xdr:sp>
          <xdr:sp macro="" textlink="">
            <xdr:nvSpPr>
              <xdr:cNvPr id="1056" name="Option Button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825500" y="2827547"/>
                <a:ext cx="1085850" cy="2083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-VARS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237067</xdr:colOff>
          <xdr:row>4</xdr:row>
          <xdr:rowOff>4234</xdr:rowOff>
        </xdr:from>
        <xdr:to>
          <xdr:col>2</xdr:col>
          <xdr:colOff>600074</xdr:colOff>
          <xdr:row>7</xdr:row>
          <xdr:rowOff>4234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37067" y="661459"/>
              <a:ext cx="1210732" cy="561975"/>
              <a:chOff x="606423" y="749301"/>
              <a:chExt cx="1200151" cy="552450"/>
            </a:xfrm>
          </xdr:grpSpPr>
          <xdr:sp macro="" textlink="">
            <xdr:nvSpPr>
              <xdr:cNvPr id="1067" name="Group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606423" y="749301"/>
                <a:ext cx="1200151" cy="5524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Phase Rotation</a:t>
                </a:r>
              </a:p>
            </xdr:txBody>
          </xdr:sp>
          <xdr:sp macro="" textlink="">
            <xdr:nvSpPr>
              <xdr:cNvPr id="1068" name="Option Butto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625784" y="932434"/>
                <a:ext cx="455151" cy="2430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ABC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4</xdr:row>
          <xdr:rowOff>161925</xdr:rowOff>
        </xdr:from>
        <xdr:to>
          <xdr:col>2</xdr:col>
          <xdr:colOff>447675</xdr:colOff>
          <xdr:row>6</xdr:row>
          <xdr:rowOff>66675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85725</xdr:rowOff>
        </xdr:from>
        <xdr:to>
          <xdr:col>6</xdr:col>
          <xdr:colOff>123825</xdr:colOff>
          <xdr:row>10</xdr:row>
          <xdr:rowOff>161925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Single-Phase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85725</xdr:rowOff>
        </xdr:from>
        <xdr:to>
          <xdr:col>8</xdr:col>
          <xdr:colOff>438150</xdr:colOff>
          <xdr:row>10</xdr:row>
          <xdr:rowOff>171450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Three-Phase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180975</xdr:rowOff>
        </xdr:from>
        <xdr:to>
          <xdr:col>9</xdr:col>
          <xdr:colOff>9525</xdr:colOff>
          <xdr:row>11</xdr:row>
          <xdr:rowOff>323850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17</xdr:row>
          <xdr:rowOff>180975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Power Factor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9525</xdr:rowOff>
        </xdr:from>
        <xdr:to>
          <xdr:col>5</xdr:col>
          <xdr:colOff>581025</xdr:colOff>
          <xdr:row>15</xdr:row>
          <xdr:rowOff>47625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A-Phase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14</xdr:row>
          <xdr:rowOff>9525</xdr:rowOff>
        </xdr:from>
        <xdr:to>
          <xdr:col>7</xdr:col>
          <xdr:colOff>266700</xdr:colOff>
          <xdr:row>15</xdr:row>
          <xdr:rowOff>47625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B-Phase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200025</xdr:rowOff>
        </xdr:from>
        <xdr:to>
          <xdr:col>9</xdr:col>
          <xdr:colOff>9525</xdr:colOff>
          <xdr:row>17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Test Phase for Single-Phase Element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8</xdr:col>
          <xdr:colOff>409575</xdr:colOff>
          <xdr:row>15</xdr:row>
          <xdr:rowOff>66675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C-Phase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4</xdr:row>
          <xdr:rowOff>133350</xdr:rowOff>
        </xdr:from>
        <xdr:to>
          <xdr:col>6</xdr:col>
          <xdr:colOff>323850</xdr:colOff>
          <xdr:row>6</xdr:row>
          <xdr:rowOff>28575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161925</xdr:rowOff>
        </xdr:from>
        <xdr:to>
          <xdr:col>8</xdr:col>
          <xdr:colOff>209550</xdr:colOff>
          <xdr:row>6</xdr:row>
          <xdr:rowOff>38100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</xdr:row>
          <xdr:rowOff>180975</xdr:rowOff>
        </xdr:from>
        <xdr:to>
          <xdr:col>9</xdr:col>
          <xdr:colOff>9525</xdr:colOff>
          <xdr:row>6</xdr:row>
          <xdr:rowOff>180975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PTCONN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17</xdr:row>
          <xdr:rowOff>180975</xdr:rowOff>
        </xdr:from>
        <xdr:to>
          <xdr:col>9</xdr:col>
          <xdr:colOff>0</xdr:colOff>
          <xdr:row>22</xdr:row>
          <xdr:rowOff>9525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Pickup Setting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57150</xdr:rowOff>
        </xdr:from>
        <xdr:to>
          <xdr:col>2</xdr:col>
          <xdr:colOff>561975</xdr:colOff>
          <xdr:row>19</xdr:row>
          <xdr:rowOff>85725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76200</xdr:rowOff>
        </xdr:from>
        <xdr:to>
          <xdr:col>2</xdr:col>
          <xdr:colOff>581025</xdr:colOff>
          <xdr:row>20</xdr:row>
          <xdr:rowOff>104775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95250</xdr:rowOff>
        </xdr:from>
        <xdr:to>
          <xdr:col>2</xdr:col>
          <xdr:colOff>590550</xdr:colOff>
          <xdr:row>21</xdr:row>
          <xdr:rowOff>123825</xdr:rowOff>
        </xdr:to>
        <xdr:sp macro="" textlink="">
          <xdr:nvSpPr>
            <xdr:cNvPr id="1118" name="Option Button 94" descr="Unity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V43"/>
  <sheetViews>
    <sheetView showGridLines="0" tabSelected="1" zoomScaleNormal="100" workbookViewId="0">
      <selection activeCell="T14" sqref="T14"/>
    </sheetView>
  </sheetViews>
  <sheetFormatPr defaultRowHeight="15" x14ac:dyDescent="0.25"/>
  <cols>
    <col min="1" max="1" width="3.5703125" customWidth="1"/>
    <col min="4" max="4" width="4.85546875" customWidth="1"/>
    <col min="10" max="10" width="3.42578125" customWidth="1"/>
    <col min="11" max="11" width="10.140625" customWidth="1"/>
    <col min="12" max="12" width="10.7109375" customWidth="1"/>
    <col min="13" max="13" width="15.140625" customWidth="1"/>
    <col min="14" max="14" width="11.140625" customWidth="1"/>
    <col min="18" max="18" width="11" customWidth="1"/>
  </cols>
  <sheetData>
    <row r="1" spans="2:22" ht="14.45" customHeight="1" x14ac:dyDescent="0.25">
      <c r="B1" s="46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P1" s="1"/>
      <c r="Q1" s="1"/>
      <c r="R1" s="1"/>
      <c r="S1" s="1"/>
      <c r="T1" s="1"/>
      <c r="U1" s="1"/>
      <c r="V1" s="1"/>
    </row>
    <row r="2" spans="2:22" ht="14.4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P2" s="1"/>
      <c r="Q2" s="1"/>
      <c r="R2" s="1"/>
      <c r="S2" s="1"/>
      <c r="T2" s="1"/>
      <c r="U2" s="1"/>
      <c r="V2" s="1"/>
    </row>
    <row r="3" spans="2:22" ht="9" customHeight="1" x14ac:dyDescent="0.25">
      <c r="B3" s="1"/>
      <c r="C3" s="1"/>
      <c r="I3" s="1"/>
      <c r="J3" s="1"/>
      <c r="O3" s="1"/>
      <c r="P3" s="1"/>
      <c r="Q3" s="1"/>
      <c r="R3" s="1"/>
      <c r="S3" s="1"/>
      <c r="T3" s="1"/>
      <c r="U3" s="1"/>
      <c r="V3" s="1"/>
    </row>
    <row r="4" spans="2:22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  <c r="V4" s="1"/>
    </row>
    <row r="5" spans="2:22" ht="14.45" customHeight="1" x14ac:dyDescent="0.25">
      <c r="B5" s="3"/>
      <c r="C5" s="3"/>
      <c r="D5" s="1"/>
      <c r="E5" s="3"/>
      <c r="F5" s="3"/>
      <c r="G5" s="3"/>
      <c r="H5" s="3"/>
      <c r="I5" s="3"/>
      <c r="J5" s="1"/>
      <c r="K5" s="40" t="s">
        <v>25</v>
      </c>
      <c r="L5" s="41"/>
      <c r="M5" s="41"/>
      <c r="N5" s="42"/>
      <c r="P5" s="1"/>
      <c r="Q5" s="1"/>
      <c r="R5" s="1"/>
      <c r="S5" s="1"/>
      <c r="T5" s="1"/>
      <c r="U5" s="1"/>
      <c r="V5" s="1"/>
    </row>
    <row r="6" spans="2:22" x14ac:dyDescent="0.25">
      <c r="B6" s="3"/>
      <c r="C6" s="3"/>
      <c r="D6" s="1"/>
      <c r="E6" s="3"/>
      <c r="F6" s="3"/>
      <c r="G6" s="3"/>
      <c r="H6" s="3"/>
      <c r="I6" s="3"/>
      <c r="J6" s="1"/>
      <c r="K6" s="43"/>
      <c r="L6" s="44"/>
      <c r="M6" s="44"/>
      <c r="N6" s="45"/>
      <c r="P6" s="1"/>
      <c r="Q6" s="1"/>
      <c r="R6" s="1"/>
      <c r="S6" s="1"/>
      <c r="T6" s="1"/>
      <c r="U6" s="1"/>
      <c r="V6" s="1"/>
    </row>
    <row r="7" spans="2:22" x14ac:dyDescent="0.25">
      <c r="B7" s="3"/>
      <c r="C7" s="3"/>
      <c r="D7" s="1"/>
      <c r="E7" s="3"/>
      <c r="F7" s="3"/>
      <c r="G7" s="3"/>
      <c r="H7" s="3"/>
      <c r="I7" s="3"/>
      <c r="J7" s="1"/>
      <c r="K7" s="19"/>
      <c r="L7" s="17"/>
      <c r="M7" s="17"/>
      <c r="N7" s="22"/>
      <c r="P7" s="26"/>
      <c r="Q7" s="26"/>
      <c r="R7" s="26"/>
      <c r="S7" s="26"/>
      <c r="T7" s="26"/>
      <c r="U7" s="1"/>
      <c r="V7" s="1"/>
    </row>
    <row r="8" spans="2:22" ht="14.45" customHeight="1" x14ac:dyDescent="0.25">
      <c r="D8" s="1"/>
      <c r="E8" s="1"/>
      <c r="F8" s="1"/>
      <c r="G8" s="1"/>
      <c r="H8" s="1"/>
      <c r="I8" s="1"/>
      <c r="J8" s="1"/>
      <c r="K8" s="64" t="s">
        <v>28</v>
      </c>
      <c r="L8" s="65"/>
      <c r="M8" s="65"/>
      <c r="N8" s="23">
        <v>250000</v>
      </c>
      <c r="P8" s="38"/>
      <c r="Q8" s="12"/>
      <c r="R8" s="12" t="s">
        <v>11</v>
      </c>
      <c r="S8" s="12">
        <v>1</v>
      </c>
      <c r="T8" s="12"/>
      <c r="U8" s="1"/>
      <c r="V8" s="1"/>
    </row>
    <row r="9" spans="2:22" x14ac:dyDescent="0.25">
      <c r="B9" s="3"/>
      <c r="C9" s="3"/>
      <c r="D9" s="1"/>
      <c r="E9" s="3"/>
      <c r="F9" s="3"/>
      <c r="G9" s="3"/>
      <c r="H9" s="3"/>
      <c r="I9" s="3"/>
      <c r="J9" s="1"/>
      <c r="K9" s="64" t="s">
        <v>1</v>
      </c>
      <c r="L9" s="65"/>
      <c r="M9" s="65"/>
      <c r="N9" s="23">
        <v>200</v>
      </c>
      <c r="O9" s="21"/>
      <c r="P9" s="38"/>
      <c r="Q9" s="12"/>
      <c r="R9" s="12" t="s">
        <v>13</v>
      </c>
      <c r="S9" s="12">
        <v>1</v>
      </c>
      <c r="T9" s="12"/>
      <c r="U9" s="1"/>
      <c r="V9" s="1"/>
    </row>
    <row r="10" spans="2:22" x14ac:dyDescent="0.25">
      <c r="B10" s="3"/>
      <c r="C10" s="3"/>
      <c r="D10" s="1"/>
      <c r="E10" s="3"/>
      <c r="F10" s="3"/>
      <c r="G10" s="3"/>
      <c r="H10" s="3"/>
      <c r="I10" s="3"/>
      <c r="J10" s="1"/>
      <c r="K10" s="64" t="s">
        <v>2</v>
      </c>
      <c r="L10" s="65"/>
      <c r="M10" s="65"/>
      <c r="N10" s="23">
        <v>2000</v>
      </c>
      <c r="O10" s="21"/>
      <c r="P10" s="38"/>
      <c r="Q10" s="12"/>
      <c r="R10" s="12" t="s">
        <v>12</v>
      </c>
      <c r="S10" s="12">
        <v>2</v>
      </c>
      <c r="T10" s="12"/>
      <c r="U10" s="1"/>
      <c r="V10" s="1"/>
    </row>
    <row r="11" spans="2:22" x14ac:dyDescent="0.25">
      <c r="B11" s="3"/>
      <c r="C11" s="3"/>
      <c r="D11" s="1"/>
      <c r="E11" s="3"/>
      <c r="F11" s="3"/>
      <c r="G11" s="3"/>
      <c r="H11" s="3"/>
      <c r="I11" s="3"/>
      <c r="J11" s="1"/>
      <c r="K11" s="20"/>
      <c r="L11" s="18"/>
      <c r="M11" s="18"/>
      <c r="N11" s="24"/>
      <c r="O11" s="21"/>
      <c r="P11" s="38"/>
      <c r="Q11" s="12"/>
      <c r="R11" s="12" t="s">
        <v>18</v>
      </c>
      <c r="S11" s="12">
        <v>2</v>
      </c>
      <c r="T11" s="12"/>
      <c r="U11" s="1"/>
      <c r="V11" s="1"/>
    </row>
    <row r="12" spans="2:22" ht="26.25" customHeight="1" thickBot="1" x14ac:dyDescent="0.3">
      <c r="B12" s="3"/>
      <c r="C12" s="3"/>
      <c r="D12" s="1"/>
      <c r="E12" s="3"/>
      <c r="F12" s="3"/>
      <c r="G12" s="3"/>
      <c r="H12" s="3"/>
      <c r="I12" s="3"/>
      <c r="K12" s="66" t="s">
        <v>26</v>
      </c>
      <c r="L12" s="67"/>
      <c r="M12" s="67"/>
      <c r="N12" s="25">
        <f>N8/(N9*N10)*1000</f>
        <v>625</v>
      </c>
      <c r="O12" s="16"/>
      <c r="P12" s="12"/>
      <c r="Q12" s="12"/>
      <c r="R12" s="12" t="s">
        <v>19</v>
      </c>
      <c r="S12" s="12">
        <v>1</v>
      </c>
      <c r="T12" s="12"/>
      <c r="U12" s="1"/>
      <c r="V12" s="1"/>
    </row>
    <row r="13" spans="2:22" ht="15.75" thickBot="1" x14ac:dyDescent="0.3"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2"/>
      <c r="Q13" s="12"/>
      <c r="R13" s="12" t="s">
        <v>20</v>
      </c>
      <c r="S13" s="12">
        <v>1</v>
      </c>
      <c r="T13" s="12"/>
      <c r="U13" s="1"/>
      <c r="V13" s="1"/>
    </row>
    <row r="14" spans="2:22" x14ac:dyDescent="0.25">
      <c r="B14" s="3"/>
      <c r="C14" s="3"/>
      <c r="D14" s="1"/>
      <c r="E14" s="3"/>
      <c r="F14" s="3"/>
      <c r="G14" s="3"/>
      <c r="H14" s="3"/>
      <c r="I14" s="3"/>
      <c r="J14" s="1"/>
      <c r="K14" s="62" t="s">
        <v>27</v>
      </c>
      <c r="L14" s="63"/>
      <c r="M14" s="63"/>
      <c r="N14" s="27">
        <v>72</v>
      </c>
      <c r="O14" s="1"/>
      <c r="P14" s="12"/>
      <c r="Q14" s="12"/>
      <c r="R14" s="12"/>
      <c r="S14" s="12"/>
      <c r="T14" s="12"/>
      <c r="U14" s="1"/>
      <c r="V14" s="1"/>
    </row>
    <row r="15" spans="2:22" x14ac:dyDescent="0.25">
      <c r="B15" s="3"/>
      <c r="C15" s="3"/>
      <c r="D15" s="1"/>
      <c r="E15" s="3"/>
      <c r="F15" s="3"/>
      <c r="G15" s="3"/>
      <c r="H15" s="3"/>
      <c r="I15" s="3"/>
      <c r="J15" s="1"/>
      <c r="K15" s="20"/>
      <c r="L15" s="18"/>
      <c r="M15" s="17"/>
      <c r="N15" s="28"/>
      <c r="O15" s="1"/>
      <c r="P15" s="12"/>
      <c r="Q15" s="12"/>
      <c r="R15" s="12"/>
      <c r="S15" s="12"/>
      <c r="T15" s="12"/>
      <c r="U15" s="1"/>
      <c r="V15" s="1"/>
    </row>
    <row r="16" spans="2:22" x14ac:dyDescent="0.25">
      <c r="B16" s="3"/>
      <c r="C16" s="3"/>
      <c r="D16" s="1"/>
      <c r="E16" s="3"/>
      <c r="F16" s="3"/>
      <c r="G16" s="3"/>
      <c r="H16" s="3"/>
      <c r="I16" s="3"/>
      <c r="J16" s="1"/>
      <c r="K16" s="55" t="s">
        <v>0</v>
      </c>
      <c r="L16" s="56"/>
      <c r="M16" s="56"/>
      <c r="N16" s="57"/>
      <c r="O16" s="5"/>
      <c r="P16" s="13"/>
      <c r="Q16" s="13"/>
      <c r="R16" s="12"/>
      <c r="S16" s="12"/>
      <c r="T16" s="12"/>
      <c r="U16" s="1"/>
      <c r="V16" s="1"/>
    </row>
    <row r="17" spans="2:22" x14ac:dyDescent="0.25">
      <c r="B17" s="3"/>
      <c r="C17" s="3"/>
      <c r="D17" s="1"/>
      <c r="E17" s="3"/>
      <c r="F17" s="3"/>
      <c r="G17" s="3"/>
      <c r="H17" s="3"/>
      <c r="I17" s="3"/>
      <c r="J17" s="1"/>
      <c r="K17" s="29"/>
      <c r="L17" s="11" t="s">
        <v>3</v>
      </c>
      <c r="M17" s="11" t="s">
        <v>4</v>
      </c>
      <c r="N17" s="30" t="s">
        <v>7</v>
      </c>
      <c r="P17" s="12"/>
      <c r="Q17" s="12"/>
      <c r="R17" s="12"/>
      <c r="S17" s="12"/>
      <c r="T17" s="12"/>
      <c r="U17" s="1"/>
      <c r="V17" s="1"/>
    </row>
    <row r="18" spans="2:22" x14ac:dyDescent="0.25">
      <c r="B18" s="1"/>
      <c r="C18" s="1"/>
      <c r="D18" s="1"/>
      <c r="E18" s="1"/>
      <c r="F18" s="1"/>
      <c r="G18" s="1"/>
      <c r="H18" s="1"/>
      <c r="I18" s="1"/>
      <c r="J18" s="1"/>
      <c r="K18" s="31" t="s">
        <v>5</v>
      </c>
      <c r="L18" s="15">
        <f>IF(AND($S$13=2,$S$11=2),$N$14*SQRT(3),IF(AND($S$13=1,$S$11=2),$N$14, IF(AND($S$13=1,$S$11=1,$S$12=1),$N$14,0)))</f>
        <v>72</v>
      </c>
      <c r="M18" s="15">
        <f>IF(AND($S$13=2,$S$11=2),0,IF(AND($S$13=1,$S$11=2),$N$14, IF(AND($S$13=1,$S$11=1,$S$12=2),$N$14,0)))</f>
        <v>72</v>
      </c>
      <c r="N18" s="32">
        <f>IF(AND($S$13=2,$S$11=2),$N$14*SQRT(3),IF(AND($S$13=1,$S$11=2),$N$14, IF(AND($S$13=1,$S$11=1,$S$12=3),$N$14,0)))</f>
        <v>72</v>
      </c>
      <c r="P18" s="12"/>
      <c r="Q18" s="12"/>
      <c r="R18" s="12"/>
      <c r="S18" s="12"/>
      <c r="T18" s="12"/>
      <c r="U18" s="1"/>
      <c r="V18" s="1"/>
    </row>
    <row r="19" spans="2:22" x14ac:dyDescent="0.25">
      <c r="B19" s="7"/>
      <c r="C19" s="7"/>
      <c r="D19" s="1"/>
      <c r="E19" s="37"/>
      <c r="F19" s="37"/>
      <c r="G19" s="37"/>
      <c r="H19" s="7"/>
      <c r="I19" s="7"/>
      <c r="K19" s="31" t="s">
        <v>6</v>
      </c>
      <c r="L19" s="10">
        <f>IF(AND($S$8=1,$S$13=1,$S$11=2),0,IF(AND($S$8=2,$S$13=1,$S$11=2),0,IF(AND($S$8=1,$S$13=2,$S$11=2),30,IF(AND($S$8=2,$S$13=2,$S$11=2),-30,IF(AND($S$8=1,$S$13=2,$S$11=1),0,IF(AND($S$8=2,$S$13=2,$S$11=1),0,0))))))</f>
        <v>0</v>
      </c>
      <c r="M19" s="10">
        <f>IF(AND($S$8=1,$S$13=1,$S$11=2),-120,IF(AND($S$8=2,$S$13=1,S11=2),120,IF(AND($S$8=1,$S$13=2,$S$11=2),0,IF(AND($S$8=2,$S$13=2,$S$11=2),0,IF(AND($S$13=1,$S$12=2,$S$11=1,$S$8=1),-120,IF(AND($S$13=1,$S$12=2,$S$11=1,$S$8=2),120,0))))))</f>
        <v>-120</v>
      </c>
      <c r="N19" s="33">
        <f>IF(AND($S$8=1,$S$13=1,$S$11=2),120,IF(AND($S$8=2,$S$13=1,$S$11=2),-120,IF(AND($S$8=1,$S$13=2,$S$11=2),90,IF(AND($S$8=2,$S$13=2,$S$11=2),-90,IF(AND($S$8=1,S13=2,$S$11=1),0,IF(AND($S$8=2,$S$13=2,$S$11=1),0,IF(AND($S$13=1,$S$12=3,$S$11=1,$S$8=1),120,IF(AND($S$13=1,$S$12=3,$S$11=1,$S$8=2),-120,0))))))))</f>
        <v>120</v>
      </c>
      <c r="P19" s="12"/>
      <c r="Q19" s="12"/>
      <c r="R19" s="12"/>
      <c r="S19" s="12"/>
      <c r="T19" s="12"/>
      <c r="U19" s="1"/>
      <c r="V19" s="1"/>
    </row>
    <row r="20" spans="2:22" x14ac:dyDescent="0.25">
      <c r="B20" s="8" t="s">
        <v>22</v>
      </c>
      <c r="C20" s="9"/>
      <c r="D20" s="2"/>
      <c r="E20" s="58" t="str">
        <f>IF(S11=1,"1-phase Power Element Pickup (VA, Secondary)","3-Phase Power Element Pickup (Secondary VA)")</f>
        <v>3-Phase Power Element Pickup (Secondary VA)</v>
      </c>
      <c r="F20" s="58"/>
      <c r="G20" s="59"/>
      <c r="H20" s="53">
        <v>625</v>
      </c>
      <c r="I20" s="54"/>
      <c r="K20" s="31"/>
      <c r="L20" s="11" t="s">
        <v>8</v>
      </c>
      <c r="M20" s="11" t="s">
        <v>9</v>
      </c>
      <c r="N20" s="30" t="s">
        <v>10</v>
      </c>
      <c r="O20" s="1"/>
      <c r="P20" s="52" t="s">
        <v>23</v>
      </c>
      <c r="Q20" s="52"/>
      <c r="R20" s="52"/>
      <c r="S20" s="52"/>
      <c r="T20" s="52"/>
      <c r="U20" s="1"/>
      <c r="V20" s="1"/>
    </row>
    <row r="21" spans="2:22" x14ac:dyDescent="0.25">
      <c r="B21" s="4">
        <v>0.95</v>
      </c>
      <c r="C21" s="7"/>
      <c r="D21" s="1"/>
      <c r="E21" s="60"/>
      <c r="F21" s="60"/>
      <c r="G21" s="61"/>
      <c r="H21" s="53"/>
      <c r="I21" s="54"/>
      <c r="K21" s="31" t="s">
        <v>5</v>
      </c>
      <c r="L21" s="15">
        <f>IF(AND($S$9=1,$S$11=2,OR($S$13=1,$S$13=2)),$R$22,IF(AND($S$9=1,$S$11=1,$S$12=1,$S$13=1),$R$33,IF(AND($S$9=2,$S$11=2,OR($S$13=1,$S$13=2)),$R$24,IF(AND($S$9=2,$S$11=1,$S$12=1,$S$13=1),$R$35,IF(AND($S$9=3,$S$11=2,OR($S$13=1,$S$13=2)),$R$26,IF(AND($S$9=3,$S$11=1,$S$12=1,$S$13=1),$R$37,IF(AND($S$9=4,$S$11=2,OR($S$13=1,$S$13=2)),$R$28,IF(AND($S$9=4,$S$11=1,$S$12=1,$S$13=1),$R$39,0))))))))</f>
        <v>3.0458089668615989</v>
      </c>
      <c r="M21" s="15">
        <f>IF(AND($S$9=1,$S$11=2,OR($S$13=1,$S$13=2)),$S$22,IF(AND($S$9=1,$S$11=1,$S$12=2,$S$13=1),$S$33,IF(AND($S$9=2,$S$11=2,OR($S$13=1,$S$13=2)),$S$24,IF(AND($S$9=2,$S$11=1,$S$12=2,$S$13=1),$S$35,IF(AND($S$9=3,$S$11=2,OR($S$13=1,$S$13=2)),$S$26,IF(AND($S$9=3,$S$11=1,$S$12=2,$S$13=1),$S$37,IF(AND($S$9=4,$S$11=2,OR($S$13=1,$S$13=2)),$S$28,IF(AND($S$9=4,$S$11=1,$S$12=2,$S$13=1),$S$39,0))))))))</f>
        <v>3.0458089668615989</v>
      </c>
      <c r="N21" s="32">
        <f>IF(AND($S$9=1,$S$11=2,OR($S$13=1,$S$13=2)),$T$22,IF(AND($S$9=1,$S$11=1,$S$12=3,$S$13=1),$T$33,IF(AND($S$9=2,$S$11=2,OR($S$13=1,$S$13=2)),$T$24,IF(AND($S$9=2,$S$11=1,$S$12=3,$S$13=1),$T$35,IF(AND($S$9=3,$S$11=2,OR($S$13=1,$S$13=2)),$T$26,IF(AND($S$9=3,$S$11=1,$S$12=3,$S$13=1),$T$37,IF(AND($S$9=4,$S$11=2,OR($S$13=1,$S$13=2)),$T$28,IF(AND($S$9=4,$S$11=1,$S$12=3,$S$13=1),$T$39,0))))))))</f>
        <v>3.0458089668615989</v>
      </c>
      <c r="O21" s="1"/>
      <c r="P21" s="12"/>
      <c r="Q21" s="12"/>
      <c r="R21" s="12" t="s">
        <v>8</v>
      </c>
      <c r="S21" s="12" t="s">
        <v>9</v>
      </c>
      <c r="T21" s="12" t="s">
        <v>10</v>
      </c>
      <c r="U21" s="1"/>
      <c r="V21" s="1"/>
    </row>
    <row r="22" spans="2:22" ht="15.75" thickBot="1" x14ac:dyDescent="0.3">
      <c r="B22" s="7"/>
      <c r="C22" s="7"/>
      <c r="D22" s="1"/>
      <c r="E22" s="7"/>
      <c r="F22" s="7"/>
      <c r="G22" s="7"/>
      <c r="H22" s="7"/>
      <c r="I22" s="7"/>
      <c r="K22" s="34" t="s">
        <v>6</v>
      </c>
      <c r="L22" s="35">
        <f>IF(AND($S$9=1,$S$11=2,OR($S$13=1,$S$13=2)),$R$23,IF(AND($S$9=1,$S$11=1,$S$12=1,$S$13=1),$R$34,IF(AND($S$9=2,$S$11=2,OR($S$13=1,$S$13=2)),$R$25,IF(AND($S$9=2,$S$11=1,$S$12=1,$S$13=1),$R$36,IF(AND($S$9=3,$S$11=2,OR($S$13=1,$S$13=2)),$R$27,IF(AND($S$9=3,$S$11=1,$S$12=1,$S$13=1),$R$38,IF(AND($S$9=4,$S$11=2,OR($S$13=1,$S$13=2)),$R$29,IF(AND($S$9=4,$S$11=1,$S$12=1,$S$13=1),$R$40,0))))))))</f>
        <v>-18.19488770733096</v>
      </c>
      <c r="M22" s="35">
        <f>IF(AND($S$9=1,$S$11=2,OR($S$13=1,$S$13=2)),$S$23,IF(AND($S$9=1,$S$11=1,$S$12=2,$S$13=1),$S$34,IF(AND($S$9=2,$S$11=2,OR($S$13=1,$S$13=2)),$S$25,IF(AND($S$9=2,$S$11=1,$S$12=2,$S$13=1),$S$36,IF(AND($S$9=3,$S$11=2,OR($S$13=1,$S$13=2)),$S$27,IF(AND($S$9=3,$S$11=1,$S$12=2,$S$13=1),$S$38,IF(AND($S$9=4,$S$11=2,OR($S$13=1,$S$13=2)),$S$29,IF(AND($S$9=4,$S$11=1,$S$12=2,$S$13=1),$S$40,0))))))))</f>
        <v>-138.19488770733096</v>
      </c>
      <c r="N22" s="36">
        <f>IF(AND($S$9=1,$S$11=2,OR($S$13=1,$S$13=2)),$T$23,IF(AND($S$9=1,$S$11=1,$S$12=3,$S$13=1),$T$34,IF(AND($S$9=2,$S$11=2,OR($S$13=1,$S$13=2)),$T$25,IF(AND($S$9=2,$S$11=1,$S$12=3,$S$13=1),$T$36,IF(AND($S$9=3,$S$11=2,OR($S$13=1,$S$13=2)),$T$27,IF(AND($S$9=3,$S$11=1,$S$12=3,$S$13=1),$T$38,IF(AND($S$9=4,$S$11=2,OR($S$13=1,$S$13=2)),$T$29,IF(AND($S$9=4,$S$11=1,$S$12=3,$S$13=1),$T$40,0))))))))</f>
        <v>101.80511229266904</v>
      </c>
      <c r="O22" s="1"/>
      <c r="P22" s="52" t="s">
        <v>14</v>
      </c>
      <c r="Q22" s="52"/>
      <c r="R22" s="12">
        <f>IF(OR($S$10=1,$S$10=2),($H$20/3)/($N$14*$B$21),($H$20/3)/($N$14))</f>
        <v>3.0458089668615989</v>
      </c>
      <c r="S22" s="12">
        <f>IF(OR($S$10=1,$S$10=2),($H$20/3)/($N$14*$B$21),($H$20/3)/($N$14))</f>
        <v>3.0458089668615989</v>
      </c>
      <c r="T22" s="12">
        <f>IF(OR($S$10=1,$S$10=2),($H$20/3)/($N$14*$B$21),($H$20/3)/($N$14))</f>
        <v>3.0458089668615989</v>
      </c>
      <c r="U22" s="1"/>
      <c r="V22" s="1"/>
    </row>
    <row r="23" spans="2:22" x14ac:dyDescent="0.25">
      <c r="B23" s="1"/>
      <c r="C23" s="1"/>
      <c r="D23" s="1"/>
      <c r="E23" s="1"/>
      <c r="K23" s="1"/>
      <c r="L23" s="1"/>
      <c r="M23" s="1"/>
      <c r="N23" s="1"/>
      <c r="O23" s="1"/>
      <c r="P23" s="52"/>
      <c r="Q23" s="52"/>
      <c r="R23" s="12">
        <f>IF(AND($S$10=1,$S$9=1),ACOS($B$21)*180/3.14159,IF(AND($S$10=2,$S$9=1),-ACOS($B$21)*180/3.14159,IF(AND($S$10=3,$S$9=1),ACOS(1)*180/3.14159,0)))</f>
        <v>-18.19488770733096</v>
      </c>
      <c r="S23" s="12">
        <f>IF(AND($S$9=1,$S$10=1,$S$8=1),(ACOS($B$21)*180/3.14159)-120,IF(AND($S$9=1,$S$10=1,$S$8=2),(ACOS($B$21)*180/3.14159)+120,IF(AND($S$9=1,$S$10=2,$S$8=1),(-ACOS($B$21)*180/3.14159)-120,IF(AND($S$9=1,$S$10=2,$S$8=2),(-ACOS($B$21)*180/3.14159)+120,IF(AND($S$9=1,$S$10=3,$S$8=1),(ACOS(1)*180/3.14159)-120,IF(AND($S$9=1,$S$10=3,$S$8=2),(ACOS(1)*180/3.14159)+120,0))))))</f>
        <v>-138.19488770733096</v>
      </c>
      <c r="T23" s="12">
        <f>IF(AND($S$9=1,$S$10=1,$S$8=1),(ACOS($B$21)*180/3.14159)+120,IF(AND($S$9=1,$S$10=1,$S$8=2),(ACOS($B$21)*180/3.14159)-120,IF(AND($S$9=1,$S$10=2,$S$8=1),(-ACOS($B$21)*180/3.14159)+120,IF(AND($S$9=1,$S$10=2,$S$8=2),(-ACOS($B$21)*180/3.14159)-120,IF(AND($S$9=1,$S$10=3,$S$8=1),(ACOS(1)*180/3.14159)+120,IF(AND($S$9=1,$S$10=3,$S$8=2),(ACOS(1)*180/3.14159)-120,0))))))</f>
        <v>101.80511229266904</v>
      </c>
      <c r="U23" s="1"/>
      <c r="V23" s="1"/>
    </row>
    <row r="24" spans="2:2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2" t="s">
        <v>15</v>
      </c>
      <c r="Q24" s="52"/>
      <c r="R24" s="12">
        <f>IF(OR($S$10=1,$S$10=2),($H$20/3)/($N$14*$B$21),($H$20/3)/($N$14))</f>
        <v>3.0458089668615989</v>
      </c>
      <c r="S24" s="12">
        <f>IF(OR($S$10=1,$S$10=2),($H$20/3)/($N$14*$B$21),($H$20/3)/($N$14))</f>
        <v>3.0458089668615989</v>
      </c>
      <c r="T24" s="12">
        <f>IF(OR($S$10=1,$S$10=2),($H$20/3)/($N$14*$B$21),($H$20/3)/($N$14))</f>
        <v>3.0458089668615989</v>
      </c>
      <c r="U24" s="1"/>
      <c r="V24" s="1"/>
    </row>
    <row r="25" spans="2:22" x14ac:dyDescent="0.25">
      <c r="I25" s="5"/>
      <c r="M25" s="1"/>
      <c r="N25" s="1"/>
      <c r="O25" s="1"/>
      <c r="P25" s="52"/>
      <c r="Q25" s="52"/>
      <c r="R25" s="12">
        <f>IF(AND($S$10=1,$S$9=2),ACOS($B$21)*180/3.14159+180,IF(AND($S$10=2,$S$9=2),-ACOS($B$21)*180/3.14159+180,IF(AND($S$10=3,$S$9=2),ACOS(1)*180/3.14159+180,0)))</f>
        <v>0</v>
      </c>
      <c r="S25" s="12">
        <f>IF(AND($S$9=2,$S$10=1,$S$8=1),(ACOS($B$21)*180/3.14159)-120+180,IF(AND($S$9=2,$S$10=1,$S$8=2),(ACOS($B$21)*180/3.14159)+120+180,IF(AND($S$9=2,$S$10=2,$S$8=1),(-ACOS($B$21)*180/3.14159)-120+180,IF(AND($S$9=2,$S$10=2,$S$8=2),(-ACOS($B$21)*180/3.14159)+120+180,IF(AND($S$9=2,$S$10=3,$S$8=1),(ACOS(1)*180/3.14159)-120+180,IF(AND($S$9=2,$S$10=3,$S$8=2),(ACOS(1)*180/3.14159)+120+180,0))))))</f>
        <v>0</v>
      </c>
      <c r="T25" s="12">
        <f>IF(AND($S$9=2,$S$10=1,$S$8=1),(ACOS($B$21)*180/3.14159)+120+180,IF(AND($S$9=2,$S$10=1,$S$8=2),(ACOS($B$21)*180/3.14159)-120+180,IF(AND($S$9=2,$S$10=2,$S$8=1),(-ACOS($B$21)*180/3.14159)+120+180,IF(AND($S$9=2,$S$10=2,$S$8=2),(-ACOS($B$21)*180/3.14159)-120+180,IF(AND($S$9=2,$S$10=3,$S$8=1),(ACOS(1)*180/3.14159)+120+180,IF(AND($S$9=2,$S$10=3,$S$8=2),(ACOS(1)*180/3.14159)-120+180,0))))))</f>
        <v>0</v>
      </c>
      <c r="U25" s="1"/>
      <c r="V25" s="1"/>
    </row>
    <row r="26" spans="2:22" x14ac:dyDescent="0.25">
      <c r="I26" s="6"/>
      <c r="M26" s="1"/>
      <c r="N26" s="1"/>
      <c r="O26" s="1"/>
      <c r="P26" s="52" t="s">
        <v>16</v>
      </c>
      <c r="Q26" s="52"/>
      <c r="R26" s="12">
        <f>IF(OR($S$10=1,$S$10=2),($H$20/3)/($N$14*SIN(ACOS($B$21))),($H$20/3)/($N$14*SIN(ACOS(1))))</f>
        <v>9.2666755674240218</v>
      </c>
      <c r="S26" s="12">
        <f>IF(OR($S$10=1,$S$10=2),($H$20/3)/($N$14*SIN(ACOS($B$21))),($H$20/3)/($N$14*SIN(ACOS(1))))</f>
        <v>9.2666755674240218</v>
      </c>
      <c r="T26" s="12">
        <f>IF(OR($S$10=1,$S$10=2),($H$20/3)/($N$14*SIN(ACOS($B$21))),($H$20/3)/($N$14*SIN(ACOS(1))))</f>
        <v>9.2666755674240218</v>
      </c>
      <c r="U26" s="1"/>
      <c r="V26" s="1"/>
    </row>
    <row r="27" spans="2:22" x14ac:dyDescent="0.25">
      <c r="I27" s="1"/>
      <c r="M27" s="1"/>
      <c r="N27" s="1"/>
      <c r="O27" s="1"/>
      <c r="P27" s="52"/>
      <c r="Q27" s="52"/>
      <c r="R27" s="12">
        <f>IF(AND($S$10=2,$S$9=3),-ACOS($B$21)*180/3.14159,IF(AND($S$10=1,$S$9=3),ACOS($B$21)*180/3.14159+180,0))</f>
        <v>0</v>
      </c>
      <c r="S27" s="12">
        <f>IF(AND($S$9=3,$S$10=2, $S$8=1),(-ACOS($B$21)*180/3.14159)-120,IF(AND($S$9=3,$S$10=2, $S$8=2),(-ACOS($B$21)*180/3.14159)+120,IF(AND($S$9=3,$S$10=1, $S$8=1),(ACOS($B$21)*180/3.14159)-120+180,IF(AND($S$9=3,$S$10=1, $S$8=2),(ACOS($B$21)*180/3.14159)+120+180,0))))</f>
        <v>0</v>
      </c>
      <c r="T27" s="12">
        <f>IF(AND($S$9=3,$S$10=2, $S$8=1),(-ACOS($B$21)*180/3.14159)+120,IF(AND($S$9=3,$S$10=2, $S$8=2),(-ACOS($B$21)*180/3.14159)-120,IF(AND($S$9=3, $S$10=1, $S$8=1),(ACOS($B$21)*180/3.14159)+120+180,IF(AND($S$9=3,$S$10=1, $S$8=2),(ACOS($B$21)*180/3.14159)-120+180,0))))</f>
        <v>0</v>
      </c>
      <c r="U27" s="1"/>
      <c r="V27" s="1"/>
    </row>
    <row r="28" spans="2:22" x14ac:dyDescent="0.25">
      <c r="I28" s="1"/>
      <c r="M28" s="1"/>
      <c r="N28" s="1"/>
      <c r="O28" s="1"/>
      <c r="P28" s="52" t="s">
        <v>17</v>
      </c>
      <c r="Q28" s="52"/>
      <c r="R28" s="12">
        <f>IF(OR($S$10=1,$S$10=2),($H$20/3)/($N$14*SIN(ACOS($B$21))),($H$20/3)/($N$14*SIN(ACOS(1))))</f>
        <v>9.2666755674240218</v>
      </c>
      <c r="S28" s="12">
        <f>IF(OR($S$10=1,$S$10=2),($H$20/3)/($N$14*SIN(ACOS($B$21))),($H$20/3)/($N$14*SIN(ACOS(1))))</f>
        <v>9.2666755674240218</v>
      </c>
      <c r="T28" s="12">
        <f>IF(OR($S$10=1,$S$10=2),($H$20/3)/($N$14*SIN(ACOS($B$21))),($H$20/3)/($N$14*SIN(ACOS(1))))</f>
        <v>9.2666755674240218</v>
      </c>
      <c r="U28" s="1"/>
      <c r="V28" s="1"/>
    </row>
    <row r="29" spans="2:22" x14ac:dyDescent="0.25"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52"/>
      <c r="Q29" s="52"/>
      <c r="R29" s="12">
        <f>IF(AND($S$10=1,$S$9=4),ACOS($B$21)*180/3.14159,IF(AND($S$10=2,$S$9=4),-ACOS($B$21)*180/3.14159+180,0))</f>
        <v>0</v>
      </c>
      <c r="S29" s="12">
        <f>IF(AND($S$9=4,$S$10=1, $S$8=1),(ACOS($B$21)*180/3.14159)-120,IF(AND($S$9=4,$S$10=1, $S$8=2),(ACOS($B$21)*180/3.14159)+120,IF(AND($S$9=4,$S$10=2, $S$8=1),(-ACOS($B$21)*180/3.14159)-120+180,IF(AND($S$9=4,$S$10=2, $S$8=2),(-ACOS($B$21)*180/3.14159)+120+180,0))))</f>
        <v>0</v>
      </c>
      <c r="T29" s="12">
        <f>IF(AND($S$9=4,$S$10=1,$S$8=1),(ACOS($B$21)*180/3.14159)+120,IF(AND($S$9=4,$S$10=1,$S$8=2),(ACOS($B$21)*180/3.14159)-120,IF(AND($S$9=4,$S$10=2,$S$8=1),(-ACOS($B$21)*180/3.14159)+120+180,IF(AND($S$9=4,$S$10=2,$S$8=2),(-ACOS($B$21)*180/3.14159)-120+180,0))))</f>
        <v>0</v>
      </c>
      <c r="U29" s="1"/>
      <c r="V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M30" s="1"/>
      <c r="N30" s="1"/>
      <c r="O30" s="1"/>
      <c r="P30" s="12"/>
      <c r="Q30" s="12"/>
      <c r="R30" s="12"/>
      <c r="S30" s="12"/>
      <c r="T30" s="12"/>
      <c r="U30" s="1"/>
      <c r="V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2" t="s">
        <v>24</v>
      </c>
      <c r="Q31" s="52"/>
      <c r="R31" s="52"/>
      <c r="S31" s="52"/>
      <c r="T31" s="52"/>
      <c r="U31" s="1"/>
      <c r="V31" s="1"/>
    </row>
    <row r="32" spans="2:2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  <c r="Q32" s="12"/>
      <c r="R32" s="12" t="s">
        <v>8</v>
      </c>
      <c r="S32" s="12" t="s">
        <v>9</v>
      </c>
      <c r="T32" s="12" t="s">
        <v>10</v>
      </c>
      <c r="U32" s="1"/>
      <c r="V32" s="1"/>
    </row>
    <row r="33" spans="2:22" x14ac:dyDescent="0.25">
      <c r="G33" s="1"/>
      <c r="H33" s="1"/>
      <c r="I33" s="1"/>
      <c r="J33" s="1"/>
      <c r="K33" s="1"/>
      <c r="L33" s="1"/>
      <c r="M33" s="1"/>
      <c r="N33" s="1"/>
      <c r="O33" s="1"/>
      <c r="P33" s="52" t="s">
        <v>14</v>
      </c>
      <c r="Q33" s="52"/>
      <c r="R33" s="12">
        <f>IF(OR($S$10=1,$S$10=2),($H$20)/($N$14*$B$21),($H$20)/($N$14))</f>
        <v>9.1374269005847957</v>
      </c>
      <c r="S33" s="12">
        <f>IF(OR($S$10=1,$S$10=2),($H$20)/($N$14*$B$21),($H$20)/($N$14))</f>
        <v>9.1374269005847957</v>
      </c>
      <c r="T33" s="12">
        <f>IF(OR($S$10=1,$S$10=2),($H$20)/($N$14*$B$21),($H$20)/($N$14))</f>
        <v>9.1374269005847957</v>
      </c>
      <c r="U33" s="1"/>
      <c r="V33" s="1"/>
    </row>
    <row r="34" spans="2:22" x14ac:dyDescent="0.25">
      <c r="G34" s="1"/>
      <c r="H34" s="1"/>
      <c r="I34" s="1"/>
      <c r="J34" s="1"/>
      <c r="K34" s="1"/>
      <c r="L34" s="1"/>
      <c r="M34" s="1"/>
      <c r="N34" s="1"/>
      <c r="O34" s="1"/>
      <c r="P34" s="52"/>
      <c r="Q34" s="52"/>
      <c r="R34" s="12">
        <f>IF(AND($S$10=1,$S$9=1),ACOS($B$21)*180/3.14159,IF(AND($S$10=2,$S$9=1),-ACOS($B$21)*180/3.14159,IF(AND($S$10=3,$S$9=1),ACOS(1)*180/3.14159,0)))</f>
        <v>-18.19488770733096</v>
      </c>
      <c r="S34" s="12">
        <f>IF(AND($S$9=1,$S$10=1,$S$8=1),(ACOS($B$21)*180/3.14159)-120,IF(AND($S$9=1,$S$10=1,$S$8=2),(ACOS($B$21)*180/3.14159)+120,IF(AND($S$9=1,$S$10=2,$S$8=1),(-ACOS($B$21)*180/3.14159)-120,IF(AND($S$9=1,$S$10=2,$S$8=2),(-ACOS($B$21)*180/3.14159)+120,IF(AND($S$9=1,$S$10=3,$S$8=1),(ACOS(1)*180/3.14159)-120,IF(AND($S$9=1,$S$10=3,$S$8=2),(ACOS(1)*180/3.14159)+120,0))))))</f>
        <v>-138.19488770733096</v>
      </c>
      <c r="T34" s="12">
        <f>IF(AND($S$9=1,$S$10=1,$S$8=1),(ACOS($B$21)*180/3.14159)+120,IF(AND($S$9=1,$S$10=1,$S$8=2),(ACOS($B$21)*180/3.14159)-120,IF(AND($S$9=1,$S$10=2,$S$8=1),(-ACOS($B$21)*180/3.14159)+120,IF(AND($S$9=1,$S$10=2,$S$8=2),(-ACOS($B$21)*180/3.14159)-120,IF(AND($S$9=1,$S$10=3,$S$8=1),(ACOS(1)*180/3.14159)+120,IF(AND($S$9=1,$S$10=3,$S$8=2),(ACOS(1)*180/3.14159)-120,0))))))</f>
        <v>101.80511229266904</v>
      </c>
    </row>
    <row r="35" spans="2:22" x14ac:dyDescent="0.25">
      <c r="G35" s="1"/>
      <c r="H35" s="1"/>
      <c r="I35" s="1"/>
      <c r="J35" s="1"/>
      <c r="K35" s="1"/>
      <c r="L35" s="1"/>
      <c r="M35" s="1"/>
      <c r="N35" s="1"/>
      <c r="O35" s="1"/>
      <c r="P35" s="52" t="s">
        <v>15</v>
      </c>
      <c r="Q35" s="52"/>
      <c r="R35" s="12">
        <f>IF(OR($S$10=1,$S$10=2),($H$20)/($N$14*$B$21),($H$20)/($N$14))</f>
        <v>9.1374269005847957</v>
      </c>
      <c r="S35" s="12">
        <f>IF(OR($S$10=1,$S$10=2),($H$20)/($N$14*$B$21),($H$20)/($N$14))</f>
        <v>9.1374269005847957</v>
      </c>
      <c r="T35" s="12">
        <f>IF(OR($S$10=1,$S$10=2),($H$20)/($N$14*$B$21),($H$20)/($N$14))</f>
        <v>9.1374269005847957</v>
      </c>
    </row>
    <row r="36" spans="2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2"/>
      <c r="Q36" s="52"/>
      <c r="R36" s="12">
        <f>IF(AND($S$10=1,$S$9=2),ACOS($B$21)*180/3.14159+180,IF(AND($S$10=2,$S$9=2),-ACOS($B$21)*180/3.14159+180,IF(AND($S$10=3,$S$9=2),ACOS(1)*180/3.14159+180,0)))</f>
        <v>0</v>
      </c>
      <c r="S36" s="12">
        <f>IF(AND($S$9=2,$S$10=1,$S$8=1),(ACOS($B$21)*180/3.14159)-120+180,IF(AND($S$9=2,$S$10=1,$S$8=2),(ACOS($B$21)*180/3.14159)+120+180,IF(AND($S$9=2,$S$10=2,$S$8=1),(-ACOS($B$21)*180/3.14159)-120+180,IF(AND($S$9=2,$S$10=2,$S$8=2),(-ACOS($B$21)*180/3.14159)+120+180,IF(AND($S$9=2,$S$10=3,$S$8=1),(ACOS(1)*180/3.14159)-120+180,IF(AND($S$9=2,$S$10=3,$S$8=2),(ACOS(1)*180/3.14159)+120+180,0))))))</f>
        <v>0</v>
      </c>
      <c r="T36" s="12">
        <f>IF(AND($S$9=2,$S$10=1,$S$8=1),(ACOS($B$21)*180/3.14159)+120+180,IF(AND($S$9=2,$S$10=1,$S$8=2),(ACOS($B$21)*180/3.14159)-120+180,IF(AND($S$9=2,$S$10=2,$S$8=1),(-ACOS($B$21)*180/3.14159)+120+180,IF(AND($S$9=2,$S$10=2,$S$8=2),(-ACOS($B$21)*180/3.14159)-120+180,IF(AND($S$9=2,$S$10=3,$S$8=1),(ACOS(1)*180/3.14159)+120+180,IF(AND($S$9=2,$S$10=3,$S$8=2),(ACOS(1)*180/3.14159)-120+180,0))))))</f>
        <v>0</v>
      </c>
    </row>
    <row r="37" spans="2:2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2" t="s">
        <v>16</v>
      </c>
      <c r="Q37" s="52"/>
      <c r="R37" s="12">
        <f>IF(OR($S$10=1,$S$10=2),($H$20)/($N$14*SIN(ACOS($B$21))),($H$20)/($N$14*SIN(ACOS(1))))</f>
        <v>27.800026702272064</v>
      </c>
      <c r="S37" s="12">
        <f>IF(OR($S$10=1,$S$10=2),($H$20)/($N$14*SIN(ACOS($B$21))),($H$20)/($N$14*SIN(ACOS(1))))</f>
        <v>27.800026702272064</v>
      </c>
      <c r="T37" s="12">
        <f>IF(OR($S$10=1,$S$10=2),($H$20)/($N$14*SIN(ACOS($B$21))),($H$20)/($N$14*SIN(ACOS(1))))</f>
        <v>27.800026702272064</v>
      </c>
      <c r="U37" s="1"/>
      <c r="V37" s="1"/>
    </row>
    <row r="38" spans="2:2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2"/>
      <c r="Q38" s="52"/>
      <c r="R38" s="12"/>
      <c r="S38" s="12"/>
      <c r="T38" s="12"/>
      <c r="U38" s="1"/>
      <c r="V38" s="1"/>
    </row>
    <row r="39" spans="2:2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2" t="s">
        <v>17</v>
      </c>
      <c r="Q39" s="52"/>
      <c r="R39" s="12">
        <f>IF(OR($S$10=1,$S$10=2),($H$20)/($N$14*SIN(ACOS($B$21))),($H$20)/($N$14*SIN(ACOS(1))))</f>
        <v>27.800026702272064</v>
      </c>
      <c r="S39" s="12">
        <f>IF(OR($S$10=1,$S$10=2),($H$20)/($N$14*SIN(ACOS($B$21))),($H$20)/($N$14*SIN(ACOS(1))))</f>
        <v>27.800026702272064</v>
      </c>
      <c r="T39" s="12">
        <f>IF(OR($S$10=1,$S$10=2),($H$20)/($N$14*SIN(ACOS($B$21))),($H$20)/($N$14*SIN(ACOS(1))))</f>
        <v>27.800026702272064</v>
      </c>
      <c r="U39" s="1"/>
      <c r="V39" s="1"/>
    </row>
    <row r="40" spans="2:22" x14ac:dyDescent="0.25">
      <c r="P40" s="52"/>
      <c r="Q40" s="52"/>
      <c r="R40" s="12">
        <f>IF(AND($S$10=1,$S$9=4),ACOS($B$21)*180/3.14159,IF(AND($S$10=2,$S$9=4),-ACOS($B$21)*180/3.14159+180,0))</f>
        <v>0</v>
      </c>
      <c r="S40" s="12">
        <f>IF(AND($S$9=4,$S$10=1, $S$8=1),(ACOS($B$21)*180/3.14159)-120,IF(AND($S$9=4,$S$10=1, $S$8=2),(ACOS($B$21)*180/3.14159)+120,IF(AND($S$9=4,$S$10=2, $S$8=1),(-ACOS($B$21)*180/3.14159)-120+180,IF(AND($S$9=4,$S$10=2, $S$8=2),(-ACOS($B$21)*180/3.14159)+120+180,0))))</f>
        <v>0</v>
      </c>
      <c r="T40" s="12">
        <f>IF(AND($S$9=4,$S$10=1,$S$8=1),(ACOS($B$21)*180/3.14159)+120,IF(AND($S$9=4,$S$10=1,$S$8=2),(ACOS($B$21)*180/3.14159)-120,IF(AND($S$9=4,$S$10=2,$S$8=1),(-ACOS($B$21)*180/3.14159)+120+180,IF(AND($S$9=4,$S$10=2,$S$8=2),(-ACOS($B$21)*180/3.14159)-120+180,0))))</f>
        <v>0</v>
      </c>
    </row>
    <row r="41" spans="2:22" x14ac:dyDescent="0.25">
      <c r="P41" s="14"/>
      <c r="Q41" s="14"/>
      <c r="R41" s="14"/>
      <c r="S41" s="14"/>
      <c r="T41" s="14"/>
    </row>
    <row r="42" spans="2:22" x14ac:dyDescent="0.25">
      <c r="P42" s="39"/>
      <c r="Q42" s="39"/>
      <c r="R42" s="39"/>
      <c r="S42" s="39"/>
      <c r="T42" s="39"/>
    </row>
    <row r="43" spans="2:22" x14ac:dyDescent="0.25">
      <c r="P43" s="39"/>
      <c r="Q43" s="39"/>
      <c r="R43" s="39"/>
      <c r="S43" s="39"/>
      <c r="T43" s="39"/>
    </row>
  </sheetData>
  <mergeCells count="20">
    <mergeCell ref="P31:T31"/>
    <mergeCell ref="P33:Q34"/>
    <mergeCell ref="P35:Q36"/>
    <mergeCell ref="P37:Q38"/>
    <mergeCell ref="P39:Q40"/>
    <mergeCell ref="K5:N6"/>
    <mergeCell ref="B1:N2"/>
    <mergeCell ref="P28:Q29"/>
    <mergeCell ref="P22:Q23"/>
    <mergeCell ref="P24:Q25"/>
    <mergeCell ref="P26:Q27"/>
    <mergeCell ref="P20:T20"/>
    <mergeCell ref="H20:I21"/>
    <mergeCell ref="K16:N16"/>
    <mergeCell ref="E20:G21"/>
    <mergeCell ref="K14:M14"/>
    <mergeCell ref="K8:M8"/>
    <mergeCell ref="K10:M10"/>
    <mergeCell ref="K9:M9"/>
    <mergeCell ref="K12:M12"/>
  </mergeCells>
  <pageMargins left="0.7" right="0.7" top="0.75" bottom="0.75" header="0.3" footer="0.3"/>
  <pageSetup orientation="portrait" r:id="rId1"/>
  <ignoredErrors>
    <ignoredError sqref="R27 P26:Q26 P29:T32 P27:Q27 S27:T27 P28:Q28 P34:Q34 P33:Q3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Group Box 24">
              <controlPr defaultSize="0" autoFill="0" autoPict="0">
                <anchor mov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600075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Option Button 29">
              <controlPr defaultSize="0" autoFill="0" autoLine="0" autoPict="0">
                <anchor moveWithCells="1">
                  <from>
                    <xdr:col>1</xdr:col>
                    <xdr:colOff>142875</xdr:colOff>
                    <xdr:row>9</xdr:row>
                    <xdr:rowOff>38100</xdr:rowOff>
                  </from>
                  <to>
                    <xdr:col>2</xdr:col>
                    <xdr:colOff>238125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Option Button 30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95250</xdr:rowOff>
                  </from>
                  <to>
                    <xdr:col>2</xdr:col>
                    <xdr:colOff>238125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Option Button 31">
              <controlPr defaultSize="0" autoFill="0" autoLine="0" autoPict="0">
                <anchor moveWithCells="1">
                  <from>
                    <xdr:col>1</xdr:col>
                    <xdr:colOff>142875</xdr:colOff>
                    <xdr:row>12</xdr:row>
                    <xdr:rowOff>171450</xdr:rowOff>
                  </from>
                  <to>
                    <xdr:col>2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Option Button 32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28575</xdr:rowOff>
                  </from>
                  <to>
                    <xdr:col>2</xdr:col>
                    <xdr:colOff>238125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Group Box 43">
              <controlPr defaultSize="0" autoFill="0" autoPict="0">
                <anchor moveWithCells="1">
                  <from>
                    <xdr:col>0</xdr:col>
                    <xdr:colOff>238125</xdr:colOff>
                    <xdr:row>4</xdr:row>
                    <xdr:rowOff>0</xdr:rowOff>
                  </from>
                  <to>
                    <xdr:col>2</xdr:col>
                    <xdr:colOff>600075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Option Button 44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9525</xdr:rowOff>
                  </from>
                  <to>
                    <xdr:col>1</xdr:col>
                    <xdr:colOff>476250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Option Button 49">
              <controlPr defaultSize="0" autoFill="0" autoLine="0" autoPict="0">
                <anchor moveWithCells="1">
                  <from>
                    <xdr:col>1</xdr:col>
                    <xdr:colOff>523875</xdr:colOff>
                    <xdr:row>4</xdr:row>
                    <xdr:rowOff>161925</xdr:rowOff>
                  </from>
                  <to>
                    <xdr:col>2</xdr:col>
                    <xdr:colOff>447675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Option Button 59">
              <controlPr defaultSize="0" autoFill="0" autoLine="0" autoPict="0">
                <anchor moveWithCells="1">
                  <from>
                    <xdr:col>4</xdr:col>
                    <xdr:colOff>257175</xdr:colOff>
                    <xdr:row>9</xdr:row>
                    <xdr:rowOff>85725</xdr:rowOff>
                  </from>
                  <to>
                    <xdr:col>6</xdr:col>
                    <xdr:colOff>123825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Option Button 60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85725</xdr:rowOff>
                  </from>
                  <to>
                    <xdr:col>8</xdr:col>
                    <xdr:colOff>438150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Group Box 62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180975</xdr:rowOff>
                  </from>
                  <to>
                    <xdr:col>9</xdr:col>
                    <xdr:colOff>9525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Group Box 63">
              <controlPr defaultSize="0" autoFill="0" autoPict="0">
                <anchor moveWithCells="1">
                  <from>
                    <xdr:col>0</xdr:col>
                    <xdr:colOff>238125</xdr:colOff>
                    <xdr:row>17</xdr:row>
                    <xdr:rowOff>180975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Option Button 64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9525</xdr:rowOff>
                  </from>
                  <to>
                    <xdr:col>5</xdr:col>
                    <xdr:colOff>581025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Option Button 65">
              <controlPr defaultSize="0" autoFill="0" autoLine="0" autoPict="0">
                <anchor moveWithCells="1">
                  <from>
                    <xdr:col>5</xdr:col>
                    <xdr:colOff>466725</xdr:colOff>
                    <xdr:row>14</xdr:row>
                    <xdr:rowOff>9525</xdr:rowOff>
                  </from>
                  <to>
                    <xdr:col>7</xdr:col>
                    <xdr:colOff>266700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Group Box 67">
              <controlPr defaultSize="0" autoFill="0" autoPict="0">
                <anchor moveWithCells="1">
                  <from>
                    <xdr:col>4</xdr:col>
                    <xdr:colOff>9525</xdr:colOff>
                    <xdr:row>12</xdr:row>
                    <xdr:rowOff>200025</xdr:rowOff>
                  </from>
                  <to>
                    <xdr:col>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Option Button 68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8</xdr:col>
                    <xdr:colOff>409575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Option Button 69">
              <controlPr defaultSize="0" autoFill="0" autoLine="0" autoPict="0">
                <anchor moveWithCells="1">
                  <from>
                    <xdr:col>4</xdr:col>
                    <xdr:colOff>542925</xdr:colOff>
                    <xdr:row>4</xdr:row>
                    <xdr:rowOff>133350</xdr:rowOff>
                  </from>
                  <to>
                    <xdr:col>6</xdr:col>
                    <xdr:colOff>323850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Option Button 70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161925</xdr:rowOff>
                  </from>
                  <to>
                    <xdr:col>8</xdr:col>
                    <xdr:colOff>209550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Group Box 71">
              <controlPr defaultSize="0" autoFill="0" autoPict="0">
                <anchor moveWithCells="1">
                  <from>
                    <xdr:col>3</xdr:col>
                    <xdr:colOff>609600</xdr:colOff>
                    <xdr:row>3</xdr:row>
                    <xdr:rowOff>180975</xdr:rowOff>
                  </from>
                  <to>
                    <xdr:col>9</xdr:col>
                    <xdr:colOff>9525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Group Box 72">
              <controlPr defaultSize="0" autoFill="0" autoPict="0">
                <anchor moveWithCells="1">
                  <from>
                    <xdr:col>3</xdr:col>
                    <xdr:colOff>314325</xdr:colOff>
                    <xdr:row>17</xdr:row>
                    <xdr:rowOff>180975</xdr:rowOff>
                  </from>
                  <to>
                    <xdr:col>9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Option Button 92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57150</xdr:rowOff>
                  </from>
                  <to>
                    <xdr:col>2</xdr:col>
                    <xdr:colOff>561975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Option Button 93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76200</xdr:rowOff>
                  </from>
                  <to>
                    <xdr:col>2</xdr:col>
                    <xdr:colOff>581025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Option Button 94">
              <controlPr defaultSize="0" autoFill="0" autoLine="0" autoPict="0" altText="Unity">
                <anchor moveWithCells="1">
                  <from>
                    <xdr:col>2</xdr:col>
                    <xdr:colOff>19050</xdr:colOff>
                    <xdr:row>20</xdr:row>
                    <xdr:rowOff>95250</xdr:rowOff>
                  </from>
                  <to>
                    <xdr:col>2</xdr:col>
                    <xdr:colOff>590550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Kothari</dc:creator>
  <cp:lastModifiedBy>Heather Young</cp:lastModifiedBy>
  <dcterms:created xsi:type="dcterms:W3CDTF">2015-06-05T18:17:20Z</dcterms:created>
  <dcterms:modified xsi:type="dcterms:W3CDTF">2021-07-09T19:23:43Z</dcterms:modified>
</cp:coreProperties>
</file>